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75" windowHeight="10170" activeTab="0"/>
  </bookViews>
  <sheets>
    <sheet name="Calc_radio" sheetId="1" r:id="rId1"/>
    <sheet name="S-metre" sheetId="2" r:id="rId2"/>
  </sheets>
  <definedNames/>
  <calcPr fullCalcOnLoad="1"/>
</workbook>
</file>

<file path=xl/sharedStrings.xml><?xml version="1.0" encoding="utf-8"?>
<sst xmlns="http://schemas.openxmlformats.org/spreadsheetml/2006/main" count="64" uniqueCount="27">
  <si>
    <t>µV</t>
  </si>
  <si>
    <t>dBm</t>
  </si>
  <si>
    <t>QRV@wanadoo.fr</t>
  </si>
  <si>
    <t>Autres valeurs courantes:</t>
  </si>
  <si>
    <t>Calculs automatiques (entrer les valeurs à convertir dans les cases jaunes) :</t>
  </si>
  <si>
    <t>dBW</t>
  </si>
  <si>
    <t>W</t>
  </si>
  <si>
    <t>Pour</t>
  </si>
  <si>
    <t>Ω</t>
  </si>
  <si>
    <r>
      <t xml:space="preserve">F4EZC - </t>
    </r>
    <r>
      <rPr>
        <b/>
        <sz val="8"/>
        <rFont val="Arial"/>
        <family val="2"/>
      </rPr>
      <t>Ch. BOURRIER</t>
    </r>
  </si>
  <si>
    <t>dBµV</t>
  </si>
  <si>
    <t>mW</t>
  </si>
  <si>
    <t>Référence:</t>
  </si>
  <si>
    <t>Tableau de conversions µV / dBµV et dBm par rapport à une valeur en Ω (50 Ω ci-dessus, par défaut).</t>
  </si>
  <si>
    <t>µV (rms)</t>
  </si>
  <si>
    <t>Référence</t>
  </si>
  <si>
    <t>S</t>
  </si>
  <si>
    <t>Indications S-mètre (pour 50Ω).</t>
  </si>
  <si>
    <t>Graduations supplémentaires</t>
  </si>
  <si>
    <t>Autre référence avec 100µV</t>
  </si>
  <si>
    <t>Ecart = 6dB entre 2 points S</t>
  </si>
  <si>
    <t>HF &lt; 30 MHz (référence 50µV)</t>
  </si>
  <si>
    <t>VHF/UHF &gt; 30 MHz (référence 5µV)</t>
  </si>
  <si>
    <t>AVRIL 2012 b</t>
  </si>
  <si>
    <r>
      <t>V</t>
    </r>
    <r>
      <rPr>
        <sz val="8"/>
        <rFont val="Arial"/>
        <family val="2"/>
      </rPr>
      <t xml:space="preserve"> (rms)</t>
    </r>
  </si>
  <si>
    <t>https://qrvradio.fr/Radio.htm</t>
  </si>
  <si>
    <t>AVRIL 2012 c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</si>
</sst>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"/>
    <numFmt numFmtId="175" formatCode="0.0000"/>
    <numFmt numFmtId="176" formatCode="0.0"/>
    <numFmt numFmtId="177" formatCode="0.00000"/>
    <numFmt numFmtId="178" formatCode="00000"/>
    <numFmt numFmtId="179" formatCode="_-* #,##0.000\ _€_-;\-* #,##0.000\ _€_-;_-* &quot;-&quot;???\ _€_-;_-@_-"/>
    <numFmt numFmtId="180" formatCode="_-* #,##0.0\ _€_-;\-* #,##0.0\ _€_-;_-* &quot;-&quot;?\ _€_-;_-@_-"/>
    <numFmt numFmtId="181" formatCode="#,##0.0_ ;\-#,##0.0\ "/>
    <numFmt numFmtId="182" formatCode="#,##0.00_ ;\-#,##0.00\ "/>
    <numFmt numFmtId="183" formatCode="0.0E+00"/>
    <numFmt numFmtId="184" formatCode="&quot;+&quot;0&quot;dB&quot;"/>
    <numFmt numFmtId="185" formatCode="0.00&quot;µV&quot;"/>
    <numFmt numFmtId="186" formatCode="0.00&quot;dBm&quot;"/>
    <numFmt numFmtId="187" formatCode="0.00&quot;dBµV&quot;"/>
    <numFmt numFmtId="188" formatCode="0.0&quot;µV&quot;"/>
    <numFmt numFmtId="189" formatCode="0&quot;µV&quot;"/>
    <numFmt numFmtId="190" formatCode="0.000&quot;µV&quot;"/>
    <numFmt numFmtId="191" formatCode="0.0&quot;dBm&quot;"/>
    <numFmt numFmtId="192" formatCode="0&quot;dBm&quot;"/>
    <numFmt numFmtId="193" formatCode="0.000000000"/>
    <numFmt numFmtId="194" formatCode="0.00000000"/>
    <numFmt numFmtId="195" formatCode="0.0000000"/>
    <numFmt numFmtId="196" formatCode="0.000000"/>
    <numFmt numFmtId="197" formatCode="0.00&quot; mW&quot;"/>
    <numFmt numFmtId="198" formatCode="0.00&quot;W&quot;"/>
    <numFmt numFmtId="199" formatCode="0.00&quot;mW&quot;"/>
    <numFmt numFmtId="200" formatCode="0.00&quot;µW&quot;"/>
    <numFmt numFmtId="201" formatCode="0.00&quot;nW&quot;"/>
    <numFmt numFmtId="202" formatCode="0.00&quot;pW&quot;"/>
    <numFmt numFmtId="203" formatCode="0.0&quot;pW&quot;"/>
    <numFmt numFmtId="204" formatCode="0&quot;pW&quot;"/>
    <numFmt numFmtId="205" formatCode="0.000&quot;pW&quot;"/>
    <numFmt numFmtId="206" formatCode="0.0000&quot;pW&quot;"/>
    <numFmt numFmtId="207" formatCode="0.00000&quot;pW&quot;"/>
    <numFmt numFmtId="208" formatCode="0.000000&quot;pW&quot;"/>
    <numFmt numFmtId="209" formatCode="0.00&quot;mV&quot;"/>
    <numFmt numFmtId="210" formatCode="0.00&quot;V&quot;"/>
    <numFmt numFmtId="211" formatCode="0.0&quot;nW&quot;"/>
    <numFmt numFmtId="212" formatCode="0.000&quot;nW&quot;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9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176" fontId="1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/>
      <protection/>
    </xf>
    <xf numFmtId="176" fontId="1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2" fontId="1" fillId="0" borderId="11" xfId="0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76" fontId="1" fillId="0" borderId="11" xfId="0" applyNumberFormat="1" applyFont="1" applyBorder="1" applyAlignment="1" applyProtection="1">
      <alignment horizontal="center"/>
      <protection/>
    </xf>
    <xf numFmtId="2" fontId="2" fillId="34" borderId="12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/>
    </xf>
    <xf numFmtId="2" fontId="1" fillId="0" borderId="13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181" fontId="1" fillId="0" borderId="0" xfId="0" applyNumberFormat="1" applyFont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2" fontId="8" fillId="0" borderId="22" xfId="51" applyNumberFormat="1" applyFont="1" applyFill="1" applyBorder="1" applyAlignment="1" applyProtection="1">
      <alignment horizontal="right"/>
      <protection/>
    </xf>
    <xf numFmtId="0" fontId="8" fillId="35" borderId="23" xfId="51" applyFont="1" applyFill="1" applyBorder="1" applyAlignment="1" applyProtection="1">
      <alignment horizontal="center"/>
      <protection locked="0"/>
    </xf>
    <xf numFmtId="0" fontId="8" fillId="0" borderId="24" xfId="51" applyFont="1" applyFill="1" applyBorder="1" applyProtection="1">
      <alignment/>
      <protection/>
    </xf>
    <xf numFmtId="4" fontId="1" fillId="0" borderId="0" xfId="0" applyNumberFormat="1" applyFont="1" applyAlignment="1" applyProtection="1">
      <alignment horizontal="center"/>
      <protection/>
    </xf>
    <xf numFmtId="4" fontId="1" fillId="0" borderId="0" xfId="0" applyNumberFormat="1" applyFont="1" applyFill="1" applyAlignment="1" applyProtection="1">
      <alignment/>
      <protection/>
    </xf>
    <xf numFmtId="176" fontId="9" fillId="0" borderId="0" xfId="0" applyNumberFormat="1" applyFont="1" applyBorder="1" applyAlignment="1" applyProtection="1">
      <alignment horizontal="center"/>
      <protection/>
    </xf>
    <xf numFmtId="2" fontId="2" fillId="34" borderId="22" xfId="0" applyNumberFormat="1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center"/>
      <protection/>
    </xf>
    <xf numFmtId="0" fontId="3" fillId="0" borderId="0" xfId="44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2" fontId="1" fillId="0" borderId="25" xfId="0" applyNumberFormat="1" applyFont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/>
      <protection/>
    </xf>
    <xf numFmtId="2" fontId="1" fillId="0" borderId="26" xfId="0" applyNumberFormat="1" applyFont="1" applyBorder="1" applyAlignment="1" applyProtection="1">
      <alignment horizontal="center"/>
      <protection/>
    </xf>
    <xf numFmtId="176" fontId="1" fillId="0" borderId="27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center"/>
      <protection/>
    </xf>
    <xf numFmtId="0" fontId="5" fillId="0" borderId="17" xfId="0" applyFont="1" applyBorder="1" applyAlignment="1" applyProtection="1">
      <alignment horizontal="left"/>
      <protection/>
    </xf>
    <xf numFmtId="174" fontId="14" fillId="0" borderId="11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2" fillId="36" borderId="11" xfId="0" applyFont="1" applyFill="1" applyBorder="1" applyAlignment="1" applyProtection="1">
      <alignment horizontal="center"/>
      <protection/>
    </xf>
    <xf numFmtId="0" fontId="10" fillId="35" borderId="11" xfId="0" applyFont="1" applyFill="1" applyBorder="1" applyAlignment="1" applyProtection="1">
      <alignment horizontal="center"/>
      <protection/>
    </xf>
    <xf numFmtId="0" fontId="10" fillId="35" borderId="13" xfId="0" applyFont="1" applyFill="1" applyBorder="1" applyAlignment="1" applyProtection="1">
      <alignment horizontal="center"/>
      <protection/>
    </xf>
    <xf numFmtId="0" fontId="13" fillId="36" borderId="11" xfId="0" applyFont="1" applyFill="1" applyBorder="1" applyAlignment="1" applyProtection="1">
      <alignment horizontal="center"/>
      <protection/>
    </xf>
    <xf numFmtId="184" fontId="10" fillId="35" borderId="28" xfId="0" applyNumberFormat="1" applyFont="1" applyFill="1" applyBorder="1" applyAlignment="1" applyProtection="1" quotePrefix="1">
      <alignment horizontal="center"/>
      <protection/>
    </xf>
    <xf numFmtId="184" fontId="10" fillId="35" borderId="11" xfId="0" applyNumberFormat="1" applyFont="1" applyFill="1" applyBorder="1" applyAlignment="1" applyProtection="1">
      <alignment horizontal="center"/>
      <protection/>
    </xf>
    <xf numFmtId="0" fontId="2" fillId="36" borderId="11" xfId="0" applyFont="1" applyFill="1" applyBorder="1" applyAlignment="1" applyProtection="1">
      <alignment horizontal="right"/>
      <protection/>
    </xf>
    <xf numFmtId="187" fontId="1" fillId="0" borderId="11" xfId="0" applyNumberFormat="1" applyFont="1" applyBorder="1" applyAlignment="1" applyProtection="1">
      <alignment horizontal="center"/>
      <protection/>
    </xf>
    <xf numFmtId="187" fontId="1" fillId="0" borderId="28" xfId="0" applyNumberFormat="1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2" fillId="36" borderId="13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182" fontId="2" fillId="34" borderId="12" xfId="0" applyNumberFormat="1" applyFont="1" applyFill="1" applyBorder="1" applyAlignment="1" applyProtection="1">
      <alignment horizontal="center"/>
      <protection locked="0"/>
    </xf>
    <xf numFmtId="182" fontId="2" fillId="0" borderId="0" xfId="0" applyNumberFormat="1" applyFont="1" applyFill="1" applyBorder="1" applyAlignment="1" applyProtection="1">
      <alignment horizontal="center"/>
      <protection/>
    </xf>
    <xf numFmtId="182" fontId="1" fillId="0" borderId="13" xfId="0" applyNumberFormat="1" applyFont="1" applyBorder="1" applyAlignment="1" applyProtection="1">
      <alignment horizontal="center"/>
      <protection/>
    </xf>
    <xf numFmtId="182" fontId="1" fillId="0" borderId="0" xfId="0" applyNumberFormat="1" applyFont="1" applyAlignment="1" applyProtection="1">
      <alignment horizontal="center"/>
      <protection/>
    </xf>
    <xf numFmtId="182" fontId="1" fillId="0" borderId="11" xfId="0" applyNumberFormat="1" applyFont="1" applyBorder="1" applyAlignment="1" applyProtection="1">
      <alignment horizontal="center"/>
      <protection/>
    </xf>
    <xf numFmtId="182" fontId="1" fillId="0" borderId="0" xfId="0" applyNumberFormat="1" applyFont="1" applyBorder="1" applyAlignment="1" applyProtection="1">
      <alignment horizontal="center"/>
      <protection/>
    </xf>
    <xf numFmtId="185" fontId="1" fillId="6" borderId="11" xfId="0" applyNumberFormat="1" applyFont="1" applyFill="1" applyBorder="1" applyAlignment="1" applyProtection="1">
      <alignment horizontal="center"/>
      <protection/>
    </xf>
    <xf numFmtId="185" fontId="1" fillId="6" borderId="13" xfId="0" applyNumberFormat="1" applyFont="1" applyFill="1" applyBorder="1" applyAlignment="1" applyProtection="1">
      <alignment horizontal="center"/>
      <protection/>
    </xf>
    <xf numFmtId="185" fontId="1" fillId="6" borderId="28" xfId="0" applyNumberFormat="1" applyFont="1" applyFill="1" applyBorder="1" applyAlignment="1" applyProtection="1">
      <alignment horizontal="center"/>
      <protection/>
    </xf>
    <xf numFmtId="189" fontId="1" fillId="6" borderId="11" xfId="0" applyNumberFormat="1" applyFont="1" applyFill="1" applyBorder="1" applyAlignment="1" applyProtection="1">
      <alignment horizontal="center"/>
      <protection/>
    </xf>
    <xf numFmtId="192" fontId="13" fillId="33" borderId="11" xfId="0" applyNumberFormat="1" applyFont="1" applyFill="1" applyBorder="1" applyAlignment="1" applyProtection="1">
      <alignment horizontal="center"/>
      <protection locked="0"/>
    </xf>
    <xf numFmtId="189" fontId="10" fillId="6" borderId="1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192" fontId="1" fillId="0" borderId="11" xfId="0" applyNumberFormat="1" applyFont="1" applyBorder="1" applyAlignment="1" applyProtection="1">
      <alignment horizontal="center"/>
      <protection/>
    </xf>
    <xf numFmtId="192" fontId="1" fillId="0" borderId="28" xfId="0" applyNumberFormat="1" applyFont="1" applyBorder="1" applyAlignment="1" applyProtection="1">
      <alignment horizontal="center"/>
      <protection/>
    </xf>
    <xf numFmtId="2" fontId="15" fillId="36" borderId="11" xfId="0" applyNumberFormat="1" applyFont="1" applyFill="1" applyBorder="1" applyAlignment="1" applyProtection="1">
      <alignment horizontal="center"/>
      <protection/>
    </xf>
    <xf numFmtId="1" fontId="15" fillId="33" borderId="11" xfId="0" applyNumberFormat="1" applyFont="1" applyFill="1" applyBorder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198" fontId="1" fillId="0" borderId="11" xfId="0" applyNumberFormat="1" applyFont="1" applyBorder="1" applyAlignment="1" applyProtection="1">
      <alignment horizontal="center"/>
      <protection/>
    </xf>
    <xf numFmtId="199" fontId="1" fillId="0" borderId="11" xfId="0" applyNumberFormat="1" applyFont="1" applyBorder="1" applyAlignment="1" applyProtection="1">
      <alignment horizontal="center"/>
      <protection/>
    </xf>
    <xf numFmtId="200" fontId="1" fillId="0" borderId="11" xfId="0" applyNumberFormat="1" applyFont="1" applyBorder="1" applyAlignment="1" applyProtection="1">
      <alignment horizontal="center"/>
      <protection/>
    </xf>
    <xf numFmtId="201" fontId="1" fillId="0" borderId="11" xfId="0" applyNumberFormat="1" applyFont="1" applyBorder="1" applyAlignment="1" applyProtection="1">
      <alignment horizontal="center"/>
      <protection/>
    </xf>
    <xf numFmtId="202" fontId="1" fillId="0" borderId="11" xfId="0" applyNumberFormat="1" applyFont="1" applyBorder="1" applyAlignment="1" applyProtection="1">
      <alignment horizontal="center"/>
      <protection/>
    </xf>
    <xf numFmtId="205" fontId="1" fillId="0" borderId="11" xfId="0" applyNumberFormat="1" applyFont="1" applyBorder="1" applyAlignment="1" applyProtection="1">
      <alignment horizontal="center"/>
      <protection/>
    </xf>
    <xf numFmtId="206" fontId="1" fillId="0" borderId="11" xfId="0" applyNumberFormat="1" applyFont="1" applyBorder="1" applyAlignment="1" applyProtection="1">
      <alignment horizontal="center"/>
      <protection/>
    </xf>
    <xf numFmtId="207" fontId="1" fillId="0" borderId="11" xfId="0" applyNumberFormat="1" applyFont="1" applyBorder="1" applyAlignment="1" applyProtection="1">
      <alignment horizontal="center"/>
      <protection/>
    </xf>
    <xf numFmtId="209" fontId="1" fillId="6" borderId="11" xfId="0" applyNumberFormat="1" applyFont="1" applyFill="1" applyBorder="1" applyAlignment="1" applyProtection="1">
      <alignment horizontal="center"/>
      <protection/>
    </xf>
    <xf numFmtId="210" fontId="1" fillId="6" borderId="11" xfId="0" applyNumberFormat="1" applyFont="1" applyFill="1" applyBorder="1" applyAlignment="1" applyProtection="1">
      <alignment horizontal="center"/>
      <protection/>
    </xf>
    <xf numFmtId="212" fontId="1" fillId="0" borderId="11" xfId="0" applyNumberFormat="1" applyFont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25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 applyProtection="1">
      <alignment horizontal="center"/>
      <protection/>
    </xf>
    <xf numFmtId="2" fontId="1" fillId="0" borderId="28" xfId="0" applyNumberFormat="1" applyFont="1" applyBorder="1" applyAlignment="1" applyProtection="1">
      <alignment horizontal="center"/>
      <protection/>
    </xf>
    <xf numFmtId="2" fontId="1" fillId="0" borderId="11" xfId="0" applyNumberFormat="1" applyFont="1" applyBorder="1" applyAlignment="1" applyProtection="1">
      <alignment horizontal="center"/>
      <protection/>
    </xf>
    <xf numFmtId="0" fontId="1" fillId="0" borderId="11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4" fontId="1" fillId="0" borderId="25" xfId="0" applyNumberFormat="1" applyFont="1" applyBorder="1" applyAlignment="1" applyProtection="1">
      <alignment horizontal="center"/>
      <protection/>
    </xf>
    <xf numFmtId="4" fontId="1" fillId="0" borderId="28" xfId="0" applyNumberFormat="1" applyFont="1" applyBorder="1" applyAlignment="1" applyProtection="1">
      <alignment horizontal="center"/>
      <protection/>
    </xf>
    <xf numFmtId="2" fontId="1" fillId="0" borderId="13" xfId="0" applyNumberFormat="1" applyFont="1" applyFill="1" applyBorder="1" applyAlignment="1" applyProtection="1">
      <alignment horizontal="center"/>
      <protection/>
    </xf>
    <xf numFmtId="2" fontId="1" fillId="0" borderId="29" xfId="0" applyNumberFormat="1" applyFont="1" applyFill="1" applyBorder="1" applyAlignment="1" applyProtection="1">
      <alignment horizontal="center"/>
      <protection/>
    </xf>
    <xf numFmtId="0" fontId="2" fillId="34" borderId="22" xfId="0" applyNumberFormat="1" applyFont="1" applyFill="1" applyBorder="1" applyAlignment="1" applyProtection="1">
      <alignment horizontal="center"/>
      <protection locked="0"/>
    </xf>
    <xf numFmtId="0" fontId="2" fillId="34" borderId="24" xfId="0" applyNumberFormat="1" applyFont="1" applyFill="1" applyBorder="1" applyAlignment="1" applyProtection="1">
      <alignment horizontal="center"/>
      <protection locked="0"/>
    </xf>
    <xf numFmtId="0" fontId="6" fillId="0" borderId="0" xfId="51" applyFont="1" applyAlignment="1" applyProtection="1">
      <alignment horizontal="center"/>
      <protection/>
    </xf>
    <xf numFmtId="2" fontId="1" fillId="0" borderId="25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4" fontId="2" fillId="34" borderId="22" xfId="0" applyNumberFormat="1" applyFont="1" applyFill="1" applyBorder="1" applyAlignment="1" applyProtection="1">
      <alignment horizontal="center"/>
      <protection locked="0"/>
    </xf>
    <xf numFmtId="4" fontId="2" fillId="34" borderId="23" xfId="0" applyNumberFormat="1" applyFont="1" applyFill="1" applyBorder="1" applyAlignment="1" applyProtection="1">
      <alignment horizontal="center"/>
      <protection locked="0"/>
    </xf>
    <xf numFmtId="4" fontId="2" fillId="34" borderId="24" xfId="0" applyNumberFormat="1" applyFont="1" applyFill="1" applyBorder="1" applyAlignment="1" applyProtection="1">
      <alignment horizontal="center"/>
      <protection locked="0"/>
    </xf>
    <xf numFmtId="4" fontId="1" fillId="0" borderId="14" xfId="0" applyNumberFormat="1" applyFont="1" applyBorder="1" applyAlignment="1" applyProtection="1">
      <alignment horizontal="center"/>
      <protection/>
    </xf>
    <xf numFmtId="4" fontId="1" fillId="0" borderId="15" xfId="0" applyNumberFormat="1" applyFont="1" applyBorder="1" applyAlignment="1" applyProtection="1">
      <alignment horizontal="center"/>
      <protection/>
    </xf>
    <xf numFmtId="0" fontId="3" fillId="0" borderId="0" xfId="44" applyBorder="1" applyAlignment="1" applyProtection="1">
      <alignment horizontal="left"/>
      <protection/>
    </xf>
    <xf numFmtId="0" fontId="3" fillId="0" borderId="17" xfId="44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2" fontId="2" fillId="34" borderId="22" xfId="0" applyNumberFormat="1" applyFont="1" applyFill="1" applyBorder="1" applyAlignment="1" applyProtection="1">
      <alignment horizontal="center"/>
      <protection locked="0"/>
    </xf>
    <xf numFmtId="2" fontId="2" fillId="34" borderId="24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dB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qrvradio.fr/Radio.htm" TargetMode="External" /><Relationship Id="rId2" Type="http://schemas.openxmlformats.org/officeDocument/2006/relationships/hyperlink" Target="mailto:QRV@wanadoo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QRV@wanadoo.fr" TargetMode="External" /><Relationship Id="rId2" Type="http://schemas.openxmlformats.org/officeDocument/2006/relationships/hyperlink" Target="https://qrvradio.fr/Radio.ht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4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2.140625" style="2" customWidth="1"/>
    <col min="2" max="2" width="7.28125" style="2" customWidth="1"/>
    <col min="3" max="3" width="7.7109375" style="2" customWidth="1"/>
    <col min="4" max="4" width="1.8515625" style="2" customWidth="1"/>
    <col min="5" max="5" width="6.28125" style="2" customWidth="1"/>
    <col min="6" max="6" width="6.7109375" style="2" customWidth="1"/>
    <col min="7" max="7" width="6.421875" style="2" customWidth="1"/>
    <col min="8" max="8" width="1.57421875" style="2" customWidth="1"/>
    <col min="9" max="9" width="6.421875" style="2" customWidth="1"/>
    <col min="10" max="10" width="7.140625" style="2" customWidth="1"/>
    <col min="11" max="11" width="6.421875" style="2" customWidth="1"/>
    <col min="12" max="12" width="1.57421875" style="2" customWidth="1"/>
    <col min="13" max="15" width="6.421875" style="2" customWidth="1"/>
    <col min="16" max="16" width="1.57421875" style="2" customWidth="1"/>
    <col min="17" max="19" width="6.421875" style="2" customWidth="1"/>
    <col min="20" max="20" width="1.57421875" style="2" customWidth="1"/>
    <col min="21" max="23" width="6.421875" style="2" customWidth="1"/>
    <col min="24" max="16384" width="11.421875" style="2" customWidth="1"/>
  </cols>
  <sheetData>
    <row r="3" ht="12">
      <c r="A3" s="32" t="s">
        <v>4</v>
      </c>
    </row>
    <row r="4" spans="2:20" ht="11.25">
      <c r="B4" s="7"/>
      <c r="C4" s="7"/>
      <c r="L4" s="25"/>
      <c r="M4" s="25"/>
      <c r="N4" s="25"/>
      <c r="O4" s="25"/>
      <c r="P4" s="25"/>
      <c r="Q4" s="25"/>
      <c r="R4" s="25"/>
      <c r="S4" s="25"/>
      <c r="T4" s="25"/>
    </row>
    <row r="5" spans="1:20" ht="12" thickBot="1">
      <c r="A5" s="8" t="s">
        <v>14</v>
      </c>
      <c r="B5" s="44" t="s">
        <v>10</v>
      </c>
      <c r="C5" s="48" t="s">
        <v>1</v>
      </c>
      <c r="D5" s="108" t="s">
        <v>5</v>
      </c>
      <c r="E5" s="108"/>
      <c r="F5" s="108" t="s">
        <v>6</v>
      </c>
      <c r="G5" s="108"/>
      <c r="H5" s="109" t="s">
        <v>11</v>
      </c>
      <c r="I5" s="110"/>
      <c r="J5" s="111"/>
      <c r="K5" s="11"/>
      <c r="L5" s="34"/>
      <c r="M5" s="22"/>
      <c r="N5" s="22"/>
      <c r="O5" s="22"/>
      <c r="P5" s="22"/>
      <c r="Q5" s="22"/>
      <c r="R5" s="22"/>
      <c r="S5" s="22"/>
      <c r="T5" s="23"/>
    </row>
    <row r="6" spans="1:20" ht="13.5" thickBot="1">
      <c r="A6" s="78">
        <v>50</v>
      </c>
      <c r="B6" s="47">
        <f>20*LOG(A6)</f>
        <v>33.979400086720375</v>
      </c>
      <c r="C6" s="49">
        <f>20*LOG(A6)-20*LOG(SQRT(0.001*$F$18)*1000000)</f>
        <v>-73.01029995663981</v>
      </c>
      <c r="D6" s="112">
        <f>10*LOG((A6/1000000)^2/$F$18)</f>
        <v>-103.01029995663981</v>
      </c>
      <c r="E6" s="113"/>
      <c r="F6" s="114">
        <f>(A6/1000000)^2/$F$18</f>
        <v>5E-11</v>
      </c>
      <c r="G6" s="114"/>
      <c r="H6" s="115">
        <f>F6*1000</f>
        <v>5.0000000000000004E-08</v>
      </c>
      <c r="I6" s="116"/>
      <c r="J6" s="117"/>
      <c r="K6" s="12"/>
      <c r="L6" s="24"/>
      <c r="M6" s="131" t="s">
        <v>25</v>
      </c>
      <c r="N6" s="131"/>
      <c r="O6" s="131"/>
      <c r="P6" s="131"/>
      <c r="Q6" s="131"/>
      <c r="R6" s="131"/>
      <c r="S6" s="131"/>
      <c r="T6" s="132"/>
    </row>
    <row r="7" spans="1:20" ht="3" customHeight="1" thickBot="1">
      <c r="A7" s="79"/>
      <c r="B7" s="19"/>
      <c r="C7" s="50"/>
      <c r="D7" s="19"/>
      <c r="E7" s="19"/>
      <c r="F7" s="52"/>
      <c r="G7" s="52"/>
      <c r="H7" s="40"/>
      <c r="I7" s="40"/>
      <c r="J7" s="41"/>
      <c r="K7" s="13"/>
      <c r="L7" s="27"/>
      <c r="M7" s="25"/>
      <c r="N7" s="25"/>
      <c r="O7" s="25"/>
      <c r="P7" s="25"/>
      <c r="Q7" s="28"/>
      <c r="R7" s="28"/>
      <c r="S7" s="28"/>
      <c r="T7" s="26"/>
    </row>
    <row r="8" spans="1:20" ht="13.5" customHeight="1" thickBot="1">
      <c r="A8" s="80">
        <f>10^(B8/20)</f>
        <v>223614.51987225257</v>
      </c>
      <c r="B8" s="43">
        <v>106.99</v>
      </c>
      <c r="C8" s="49">
        <f>B8-20*LOG(SQRT(0.001*$F$18)*1000000)</f>
        <v>0.0002999566398074194</v>
      </c>
      <c r="D8" s="112">
        <f>10*LOG(((10^(B8/20))/1000000)^2/$F$18)</f>
        <v>-29.99970004336017</v>
      </c>
      <c r="E8" s="113"/>
      <c r="F8" s="114">
        <f>((10^(B8/20))/1000000)^2/$F$18</f>
        <v>0.0010000690699539607</v>
      </c>
      <c r="G8" s="114"/>
      <c r="H8" s="115">
        <f>F8*1000</f>
        <v>1.0000690699539607</v>
      </c>
      <c r="I8" s="116"/>
      <c r="J8" s="117"/>
      <c r="K8" s="12"/>
      <c r="L8" s="24"/>
      <c r="M8" s="131" t="s">
        <v>2</v>
      </c>
      <c r="N8" s="131"/>
      <c r="O8" s="131"/>
      <c r="P8" s="131"/>
      <c r="Q8" s="25"/>
      <c r="R8" s="29"/>
      <c r="S8" s="28"/>
      <c r="T8" s="26"/>
    </row>
    <row r="9" spans="1:20" ht="3" customHeight="1" thickBot="1">
      <c r="A9" s="81"/>
      <c r="B9" s="15"/>
      <c r="C9" s="50"/>
      <c r="D9" s="19"/>
      <c r="E9" s="19"/>
      <c r="F9" s="52"/>
      <c r="G9" s="52"/>
      <c r="H9" s="40"/>
      <c r="I9" s="40"/>
      <c r="J9" s="41"/>
      <c r="K9" s="13"/>
      <c r="L9" s="27"/>
      <c r="M9" s="29"/>
      <c r="N9" s="29"/>
      <c r="O9" s="29"/>
      <c r="P9" s="29"/>
      <c r="Q9" s="29"/>
      <c r="R9" s="29"/>
      <c r="S9" s="25"/>
      <c r="T9" s="26"/>
    </row>
    <row r="10" spans="1:20" ht="13.5" customHeight="1" thickBot="1">
      <c r="A10" s="82">
        <f>10^((C10+20*LOG(SQRT(0.001*$F$18)*1000000))/20)</f>
        <v>5.005932648504534</v>
      </c>
      <c r="B10" s="20">
        <f>C10+20*LOG(SQRT(0.001*$F$18)*1000000)</f>
        <v>13.989700043360187</v>
      </c>
      <c r="C10" s="18">
        <v>-93</v>
      </c>
      <c r="D10" s="112">
        <f>10*LOG(((10^((C10+20*LOG(SQRT(0.001*$F$18)*1000000))/20))/1000000)^2/$F$18)</f>
        <v>-123</v>
      </c>
      <c r="E10" s="113"/>
      <c r="F10" s="114">
        <f>((10^((C10+20*LOG(SQRT(0.001*$F$18)*1000000))/20))/1000000)^2/$F$18</f>
        <v>5.011872336272724E-13</v>
      </c>
      <c r="G10" s="114"/>
      <c r="H10" s="115">
        <f>F10*1000</f>
        <v>5.011872336272724E-10</v>
      </c>
      <c r="I10" s="116"/>
      <c r="J10" s="117"/>
      <c r="K10" s="12"/>
      <c r="L10" s="24"/>
      <c r="M10" s="134" t="s">
        <v>9</v>
      </c>
      <c r="N10" s="134"/>
      <c r="O10" s="134"/>
      <c r="P10" s="134"/>
      <c r="Q10" s="134"/>
      <c r="R10" s="25"/>
      <c r="S10" s="25"/>
      <c r="T10" s="26"/>
    </row>
    <row r="11" spans="1:20" ht="3" customHeight="1" thickBot="1">
      <c r="A11" s="81"/>
      <c r="B11" s="19"/>
      <c r="C11" s="51">
        <v>33</v>
      </c>
      <c r="D11" s="19"/>
      <c r="E11" s="19"/>
      <c r="F11" s="52"/>
      <c r="G11" s="52"/>
      <c r="H11" s="40"/>
      <c r="I11" s="40"/>
      <c r="J11" s="41"/>
      <c r="K11" s="13"/>
      <c r="L11" s="27"/>
      <c r="M11" s="134"/>
      <c r="N11" s="134"/>
      <c r="O11" s="134"/>
      <c r="P11" s="134"/>
      <c r="Q11" s="134"/>
      <c r="R11" s="25"/>
      <c r="S11" s="25"/>
      <c r="T11" s="26"/>
    </row>
    <row r="12" spans="1:20" ht="12" thickBot="1">
      <c r="A12" s="82">
        <f>SQRT(10^(D12/10)*$F$18)*1000000</f>
        <v>9.988148764833442</v>
      </c>
      <c r="B12" s="47">
        <f>20*LOG((SQRT(10^(D12/10)*$F$18))*1000000)</f>
        <v>19.98970004336018</v>
      </c>
      <c r="C12" s="49">
        <f>20*LOG(SQRT(10^(D12/10)*$F$18)*1000000)-20*LOG(SQRT(0.001*$F$18)*1000000)</f>
        <v>-87</v>
      </c>
      <c r="D12" s="135">
        <v>-117</v>
      </c>
      <c r="E12" s="136"/>
      <c r="F12" s="114">
        <f>10^(D12/10)</f>
        <v>1.995262314968876E-12</v>
      </c>
      <c r="G12" s="114"/>
      <c r="H12" s="115">
        <f>F12*1000</f>
        <v>1.9952623149688757E-09</v>
      </c>
      <c r="I12" s="116"/>
      <c r="J12" s="117"/>
      <c r="K12" s="12"/>
      <c r="L12" s="24"/>
      <c r="M12" s="133" t="s">
        <v>23</v>
      </c>
      <c r="N12" s="133"/>
      <c r="O12" s="133"/>
      <c r="P12" s="133"/>
      <c r="Q12" s="25"/>
      <c r="R12" s="25"/>
      <c r="S12" s="25"/>
      <c r="T12" s="26"/>
    </row>
    <row r="13" spans="1:20" ht="3" customHeight="1" thickBot="1">
      <c r="A13" s="83"/>
      <c r="B13" s="21"/>
      <c r="C13" s="50"/>
      <c r="D13" s="15"/>
      <c r="E13" s="15"/>
      <c r="F13" s="52"/>
      <c r="G13" s="52"/>
      <c r="H13" s="40"/>
      <c r="I13" s="40"/>
      <c r="J13" s="41"/>
      <c r="K13" s="13"/>
      <c r="L13" s="27"/>
      <c r="M13" s="25"/>
      <c r="N13" s="25"/>
      <c r="O13" s="25"/>
      <c r="P13" s="25"/>
      <c r="Q13" s="25"/>
      <c r="R13" s="25"/>
      <c r="S13" s="25"/>
      <c r="T13" s="26"/>
    </row>
    <row r="14" spans="1:20" ht="12" thickBot="1">
      <c r="A14" s="82">
        <f>SQRT(F14*$F$18)*1000000</f>
        <v>70710678.11865476</v>
      </c>
      <c r="B14" s="20">
        <f>20*LOG(SQRT(F14*$F$18)*1000000)</f>
        <v>156.9897000433602</v>
      </c>
      <c r="C14" s="49">
        <f>20*LOG(SQRT(F14*$F$18)*1000000)-20*LOG(SQRT(0.001*$F$18)*1000000)</f>
        <v>50</v>
      </c>
      <c r="D14" s="118">
        <f>10*LOG(F14)</f>
        <v>20</v>
      </c>
      <c r="E14" s="119"/>
      <c r="F14" s="120">
        <v>100</v>
      </c>
      <c r="G14" s="121"/>
      <c r="H14" s="129">
        <f>F14*1000</f>
        <v>100000</v>
      </c>
      <c r="I14" s="129"/>
      <c r="J14" s="130"/>
      <c r="K14" s="14"/>
      <c r="L14" s="35"/>
      <c r="M14" s="30"/>
      <c r="N14" s="30"/>
      <c r="O14" s="30"/>
      <c r="P14" s="30"/>
      <c r="Q14" s="30"/>
      <c r="R14" s="30"/>
      <c r="S14" s="30"/>
      <c r="T14" s="31"/>
    </row>
    <row r="15" spans="1:20" ht="12" thickBot="1">
      <c r="A15" s="82">
        <f>SQRT(F15*$F$18)*1000000</f>
        <v>223606.79774997896</v>
      </c>
      <c r="B15" s="20">
        <f>20*LOG(SQRT(F15*$F$18)*1000000)</f>
        <v>106.98970004336019</v>
      </c>
      <c r="C15" s="49">
        <f>20*LOG(SQRT(F15*$F$18)*1000000)-20*LOG(SQRT(0.001*$F$18)*1000000)</f>
        <v>0</v>
      </c>
      <c r="D15" s="118">
        <f>10*LOG(F15)</f>
        <v>-30</v>
      </c>
      <c r="E15" s="123"/>
      <c r="F15" s="124">
        <f>H15/1000</f>
        <v>0.001</v>
      </c>
      <c r="G15" s="125"/>
      <c r="H15" s="126">
        <v>1</v>
      </c>
      <c r="I15" s="127"/>
      <c r="J15" s="128"/>
      <c r="K15" s="14"/>
      <c r="L15" s="14"/>
      <c r="M15" s="25"/>
      <c r="N15" s="25"/>
      <c r="O15" s="25"/>
      <c r="P15" s="25"/>
      <c r="Q15" s="25"/>
      <c r="R15" s="25"/>
      <c r="S15" s="25"/>
      <c r="T15" s="25"/>
    </row>
    <row r="16" spans="1:20" ht="11.25">
      <c r="A16" s="33"/>
      <c r="B16" s="21"/>
      <c r="C16" s="21"/>
      <c r="D16" s="36"/>
      <c r="E16" s="36"/>
      <c r="F16" s="12"/>
      <c r="G16" s="12"/>
      <c r="H16" s="21"/>
      <c r="I16" s="21"/>
      <c r="J16" s="21"/>
      <c r="K16" s="14"/>
      <c r="L16" s="14"/>
      <c r="M16" s="25"/>
      <c r="N16" s="25"/>
      <c r="O16" s="25"/>
      <c r="P16" s="25"/>
      <c r="Q16" s="25"/>
      <c r="R16" s="25"/>
      <c r="S16" s="25"/>
      <c r="T16" s="25"/>
    </row>
    <row r="17" ht="12" thickBot="1">
      <c r="J17" s="54">
        <f>20*LOG(SQRT(0.001*F18)*1000000)</f>
        <v>106.98970004336019</v>
      </c>
    </row>
    <row r="18" spans="3:7" ht="16.5" thickBot="1">
      <c r="C18" s="42" t="s">
        <v>12</v>
      </c>
      <c r="E18" s="37" t="s">
        <v>7</v>
      </c>
      <c r="F18" s="38">
        <v>50</v>
      </c>
      <c r="G18" s="39" t="s">
        <v>8</v>
      </c>
    </row>
    <row r="20" spans="1:19" ht="12.75">
      <c r="A20" s="122" t="s">
        <v>13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2" spans="1:19" ht="11.25">
      <c r="A22" s="9" t="s">
        <v>0</v>
      </c>
      <c r="B22" s="9" t="s">
        <v>10</v>
      </c>
      <c r="C22" s="9" t="s">
        <v>1</v>
      </c>
      <c r="D22" s="1"/>
      <c r="E22" s="9" t="s">
        <v>0</v>
      </c>
      <c r="F22" s="9" t="s">
        <v>10</v>
      </c>
      <c r="G22" s="9" t="s">
        <v>1</v>
      </c>
      <c r="H22" s="1"/>
      <c r="I22" s="9" t="s">
        <v>0</v>
      </c>
      <c r="J22" s="9" t="s">
        <v>10</v>
      </c>
      <c r="K22" s="9" t="s">
        <v>1</v>
      </c>
      <c r="L22" s="1"/>
      <c r="M22" s="9" t="s">
        <v>0</v>
      </c>
      <c r="N22" s="9" t="s">
        <v>10</v>
      </c>
      <c r="O22" s="9" t="s">
        <v>1</v>
      </c>
      <c r="P22" s="16"/>
      <c r="Q22" s="9" t="s">
        <v>0</v>
      </c>
      <c r="R22" s="9" t="s">
        <v>10</v>
      </c>
      <c r="S22" s="9" t="s">
        <v>1</v>
      </c>
    </row>
    <row r="23" spans="1:19" ht="11.25">
      <c r="A23" s="10">
        <v>0.01</v>
      </c>
      <c r="B23" s="10">
        <f>20*LOG(A23)</f>
        <v>-40</v>
      </c>
      <c r="C23" s="10">
        <f>20*LOG(A23)-20*LOG(SQRT(0.001*$F$18)*1000000)</f>
        <v>-146.9897000433602</v>
      </c>
      <c r="D23" s="16"/>
      <c r="E23" s="10">
        <v>0.26</v>
      </c>
      <c r="F23" s="10">
        <f>20*LOG(E23)</f>
        <v>-11.70053304058364</v>
      </c>
      <c r="G23" s="10">
        <f>20*LOG(E23)-20*LOG(SQRT(0.001*$F$18)*1000000)</f>
        <v>-118.69023308394382</v>
      </c>
      <c r="H23" s="16"/>
      <c r="I23" s="10">
        <v>0.51</v>
      </c>
      <c r="J23" s="10">
        <f>20*LOG(I23)</f>
        <v>-5.848596478041273</v>
      </c>
      <c r="K23" s="10">
        <f>20*LOG(I23)-20*LOG(SQRT(0.001*$F$18)*1000000)</f>
        <v>-112.83829652140146</v>
      </c>
      <c r="L23" s="16"/>
      <c r="M23" s="10">
        <v>0.76</v>
      </c>
      <c r="N23" s="10">
        <f>20*LOG(M23)</f>
        <v>-2.383728154384173</v>
      </c>
      <c r="O23" s="10">
        <f>20*LOG(M23)-20*LOG(SQRT(0.001*$F$18)*1000000)</f>
        <v>-109.37342819774436</v>
      </c>
      <c r="P23" s="16"/>
      <c r="Q23" s="10">
        <v>1.01</v>
      </c>
      <c r="R23" s="10">
        <f>20*LOG(Q23)</f>
        <v>0.08642747565285157</v>
      </c>
      <c r="S23" s="10">
        <f>20*LOG(Q23)-20*LOG(SQRT(0.001*$F$18)*1000000)</f>
        <v>-106.90327256770733</v>
      </c>
    </row>
    <row r="24" spans="1:19" ht="11.25">
      <c r="A24" s="10">
        <f>A23+0.01</f>
        <v>0.02</v>
      </c>
      <c r="B24" s="10">
        <f aca="true" t="shared" si="0" ref="B24:B47">20*LOG(A24)</f>
        <v>-33.979400086720375</v>
      </c>
      <c r="C24" s="10">
        <f aca="true" t="shared" si="1" ref="C24:C47">20*LOG(A24)-20*LOG(SQRT(0.001*$F$18)*1000000)</f>
        <v>-140.96910013008056</v>
      </c>
      <c r="D24" s="16"/>
      <c r="E24" s="10">
        <f>E23+0.01</f>
        <v>0.27</v>
      </c>
      <c r="F24" s="10">
        <f aca="true" t="shared" si="2" ref="F24:F47">20*LOG(E24)</f>
        <v>-11.372724716820253</v>
      </c>
      <c r="G24" s="10">
        <f aca="true" t="shared" si="3" ref="G24:G47">20*LOG(E24)-20*LOG(SQRT(0.001*$F$18)*1000000)</f>
        <v>-118.36242476018045</v>
      </c>
      <c r="H24" s="16"/>
      <c r="I24" s="10">
        <f>I23+0.01</f>
        <v>0.52</v>
      </c>
      <c r="J24" s="10">
        <f aca="true" t="shared" si="4" ref="J24:J47">20*LOG(I24)</f>
        <v>-5.679933127304016</v>
      </c>
      <c r="K24" s="10">
        <f aca="true" t="shared" si="5" ref="K24:K47">20*LOG(I24)-20*LOG(SQRT(0.001*$F$18)*1000000)</f>
        <v>-112.6696331706642</v>
      </c>
      <c r="L24" s="16"/>
      <c r="M24" s="10">
        <f>M23+0.01</f>
        <v>0.77</v>
      </c>
      <c r="N24" s="10">
        <f aca="true" t="shared" si="6" ref="N24:N47">20*LOG(M24)</f>
        <v>-2.2701854965503623</v>
      </c>
      <c r="O24" s="10">
        <f aca="true" t="shared" si="7" ref="O24:O47">20*LOG(M24)-20*LOG(SQRT(0.001*$F$18)*1000000)</f>
        <v>-109.25988553991056</v>
      </c>
      <c r="P24" s="16"/>
      <c r="Q24" s="10">
        <f>Q23+0.01</f>
        <v>1.02</v>
      </c>
      <c r="R24" s="10">
        <f aca="true" t="shared" si="8" ref="R24:R47">20*LOG(Q24)</f>
        <v>0.17200343523835138</v>
      </c>
      <c r="S24" s="10">
        <f aca="true" t="shared" si="9" ref="S24:S47">20*LOG(Q24)-20*LOG(SQRT(0.001*$F$18)*1000000)</f>
        <v>-106.81769660812184</v>
      </c>
    </row>
    <row r="25" spans="1:19" ht="11.25">
      <c r="A25" s="10">
        <f aca="true" t="shared" si="10" ref="A25:A42">A24+0.01</f>
        <v>0.03</v>
      </c>
      <c r="B25" s="10">
        <f t="shared" si="0"/>
        <v>-30.45757490560675</v>
      </c>
      <c r="C25" s="10">
        <f t="shared" si="1"/>
        <v>-137.44727494896694</v>
      </c>
      <c r="D25" s="16"/>
      <c r="E25" s="10">
        <f aca="true" t="shared" si="11" ref="E25:E47">E24+0.01</f>
        <v>0.28</v>
      </c>
      <c r="F25" s="10">
        <f t="shared" si="2"/>
        <v>-11.056839373155615</v>
      </c>
      <c r="G25" s="10">
        <f t="shared" si="3"/>
        <v>-118.0465394165158</v>
      </c>
      <c r="H25" s="16"/>
      <c r="I25" s="10">
        <f aca="true" t="shared" si="12" ref="I25:I47">I24+0.01</f>
        <v>0.53</v>
      </c>
      <c r="J25" s="10">
        <f t="shared" si="4"/>
        <v>-5.514482607984219</v>
      </c>
      <c r="K25" s="10">
        <f t="shared" si="5"/>
        <v>-112.50418265134441</v>
      </c>
      <c r="L25" s="16"/>
      <c r="M25" s="10">
        <f aca="true" t="shared" si="13" ref="M25:M47">M24+0.01</f>
        <v>0.78</v>
      </c>
      <c r="N25" s="10">
        <f t="shared" si="6"/>
        <v>-2.1581079461903916</v>
      </c>
      <c r="O25" s="10">
        <f t="shared" si="7"/>
        <v>-109.14780798955059</v>
      </c>
      <c r="P25" s="16"/>
      <c r="Q25" s="10">
        <f aca="true" t="shared" si="14" ref="Q25:Q47">Q24+0.01</f>
        <v>1.03</v>
      </c>
      <c r="R25" s="10">
        <f t="shared" si="8"/>
        <v>0.25674449410344435</v>
      </c>
      <c r="S25" s="10">
        <f t="shared" si="9"/>
        <v>-106.73295554925674</v>
      </c>
    </row>
    <row r="26" spans="1:19" ht="11.25">
      <c r="A26" s="10">
        <f t="shared" si="10"/>
        <v>0.04</v>
      </c>
      <c r="B26" s="10">
        <f t="shared" si="0"/>
        <v>-27.95880017344075</v>
      </c>
      <c r="C26" s="10">
        <f t="shared" si="1"/>
        <v>-134.94850021680094</v>
      </c>
      <c r="D26" s="16"/>
      <c r="E26" s="10">
        <f t="shared" si="11"/>
        <v>0.29000000000000004</v>
      </c>
      <c r="F26" s="10">
        <f t="shared" si="2"/>
        <v>-10.752040042020877</v>
      </c>
      <c r="G26" s="10">
        <f t="shared" si="3"/>
        <v>-117.74174008538107</v>
      </c>
      <c r="H26" s="16"/>
      <c r="I26" s="10">
        <f t="shared" si="12"/>
        <v>0.54</v>
      </c>
      <c r="J26" s="10">
        <f t="shared" si="4"/>
        <v>-5.352124803540629</v>
      </c>
      <c r="K26" s="10">
        <f t="shared" si="5"/>
        <v>-112.34182484690082</v>
      </c>
      <c r="L26" s="16"/>
      <c r="M26" s="10">
        <f t="shared" si="13"/>
        <v>0.79</v>
      </c>
      <c r="N26" s="10">
        <f t="shared" si="6"/>
        <v>-2.047458174191171</v>
      </c>
      <c r="O26" s="10">
        <f t="shared" si="7"/>
        <v>-109.03715821755137</v>
      </c>
      <c r="P26" s="16"/>
      <c r="Q26" s="10">
        <f t="shared" si="14"/>
        <v>1.04</v>
      </c>
      <c r="R26" s="10">
        <f t="shared" si="8"/>
        <v>0.3406667859756074</v>
      </c>
      <c r="S26" s="10">
        <f t="shared" si="9"/>
        <v>-106.64903325738457</v>
      </c>
    </row>
    <row r="27" spans="1:21" ht="11.25">
      <c r="A27" s="10">
        <f t="shared" si="10"/>
        <v>0.05</v>
      </c>
      <c r="B27" s="10">
        <f t="shared" si="0"/>
        <v>-26.020599913279625</v>
      </c>
      <c r="C27" s="10">
        <f t="shared" si="1"/>
        <v>-133.0102999566398</v>
      </c>
      <c r="D27" s="16"/>
      <c r="E27" s="10">
        <f t="shared" si="11"/>
        <v>0.30000000000000004</v>
      </c>
      <c r="F27" s="10">
        <f t="shared" si="2"/>
        <v>-10.45757490560675</v>
      </c>
      <c r="G27" s="10">
        <f t="shared" si="3"/>
        <v>-117.44727494896694</v>
      </c>
      <c r="H27" s="16"/>
      <c r="I27" s="10">
        <f t="shared" si="12"/>
        <v>0.55</v>
      </c>
      <c r="J27" s="10">
        <f t="shared" si="4"/>
        <v>-5.192746210115122</v>
      </c>
      <c r="K27" s="10">
        <f t="shared" si="5"/>
        <v>-112.1824462534753</v>
      </c>
      <c r="L27" s="16"/>
      <c r="M27" s="10">
        <f t="shared" si="13"/>
        <v>0.8</v>
      </c>
      <c r="N27" s="10">
        <f t="shared" si="6"/>
        <v>-1.938200260161128</v>
      </c>
      <c r="O27" s="10">
        <f t="shared" si="7"/>
        <v>-108.92790030352131</v>
      </c>
      <c r="P27" s="16"/>
      <c r="Q27" s="10">
        <f t="shared" si="14"/>
        <v>1.05</v>
      </c>
      <c r="R27" s="10">
        <f t="shared" si="8"/>
        <v>0.42378598139876184</v>
      </c>
      <c r="S27" s="10">
        <f t="shared" si="9"/>
        <v>-106.56591406196142</v>
      </c>
      <c r="U27" s="96" t="s">
        <v>3</v>
      </c>
    </row>
    <row r="28" spans="1:19" ht="11.25">
      <c r="A28" s="10">
        <f t="shared" si="10"/>
        <v>0.060000000000000005</v>
      </c>
      <c r="B28" s="10">
        <f t="shared" si="0"/>
        <v>-24.436974992327126</v>
      </c>
      <c r="C28" s="10">
        <f t="shared" si="1"/>
        <v>-131.4266750356873</v>
      </c>
      <c r="D28" s="16"/>
      <c r="E28" s="10">
        <f t="shared" si="11"/>
        <v>0.31000000000000005</v>
      </c>
      <c r="F28" s="10">
        <f t="shared" si="2"/>
        <v>-10.172766123314545</v>
      </c>
      <c r="G28" s="10">
        <f t="shared" si="3"/>
        <v>-117.16246616667473</v>
      </c>
      <c r="H28" s="16"/>
      <c r="I28" s="10">
        <f t="shared" si="12"/>
        <v>0.56</v>
      </c>
      <c r="J28" s="10">
        <f t="shared" si="4"/>
        <v>-5.036239459875991</v>
      </c>
      <c r="K28" s="10">
        <f t="shared" si="5"/>
        <v>-112.02593950323617</v>
      </c>
      <c r="L28" s="16"/>
      <c r="M28" s="10">
        <f t="shared" si="13"/>
        <v>0.81</v>
      </c>
      <c r="N28" s="10">
        <f t="shared" si="6"/>
        <v>-1.8302996224270043</v>
      </c>
      <c r="O28" s="10">
        <f t="shared" si="7"/>
        <v>-108.8199996657872</v>
      </c>
      <c r="P28" s="16"/>
      <c r="Q28" s="10">
        <f t="shared" si="14"/>
        <v>1.06</v>
      </c>
      <c r="R28" s="10">
        <f t="shared" si="8"/>
        <v>0.5061173052954052</v>
      </c>
      <c r="S28" s="10">
        <f t="shared" si="9"/>
        <v>-106.48358273806478</v>
      </c>
    </row>
    <row r="29" spans="1:23" ht="11.25">
      <c r="A29" s="10">
        <f t="shared" si="10"/>
        <v>0.07</v>
      </c>
      <c r="B29" s="10">
        <f t="shared" si="0"/>
        <v>-23.09803919971486</v>
      </c>
      <c r="C29" s="10">
        <f t="shared" si="1"/>
        <v>-130.08773924307505</v>
      </c>
      <c r="D29" s="16"/>
      <c r="E29" s="10">
        <f t="shared" si="11"/>
        <v>0.32000000000000006</v>
      </c>
      <c r="F29" s="10">
        <f t="shared" si="2"/>
        <v>-9.897000433601878</v>
      </c>
      <c r="G29" s="10">
        <f t="shared" si="3"/>
        <v>-116.88670047696206</v>
      </c>
      <c r="H29" s="16"/>
      <c r="I29" s="10">
        <f t="shared" si="12"/>
        <v>0.5700000000000001</v>
      </c>
      <c r="J29" s="10">
        <f t="shared" si="4"/>
        <v>-4.882502886550172</v>
      </c>
      <c r="K29" s="10">
        <f t="shared" si="5"/>
        <v>-111.87220292991036</v>
      </c>
      <c r="L29" s="16"/>
      <c r="M29" s="10">
        <f t="shared" si="13"/>
        <v>0.8200000000000001</v>
      </c>
      <c r="N29" s="10">
        <f t="shared" si="6"/>
        <v>-1.7237229523256656</v>
      </c>
      <c r="O29" s="10">
        <f t="shared" si="7"/>
        <v>-108.71342299568585</v>
      </c>
      <c r="P29" s="16"/>
      <c r="Q29" s="10">
        <f t="shared" si="14"/>
        <v>1.07</v>
      </c>
      <c r="R29" s="10">
        <f t="shared" si="8"/>
        <v>0.5876755537041933</v>
      </c>
      <c r="S29" s="10">
        <f t="shared" si="9"/>
        <v>-106.402024489656</v>
      </c>
      <c r="U29" s="9" t="s">
        <v>0</v>
      </c>
      <c r="V29" s="9" t="s">
        <v>10</v>
      </c>
      <c r="W29" s="9" t="s">
        <v>1</v>
      </c>
    </row>
    <row r="30" spans="1:23" ht="11.25">
      <c r="A30" s="10">
        <f t="shared" si="10"/>
        <v>0.08</v>
      </c>
      <c r="B30" s="10">
        <f t="shared" si="0"/>
        <v>-21.93820026016113</v>
      </c>
      <c r="C30" s="10">
        <f t="shared" si="1"/>
        <v>-128.9279003035213</v>
      </c>
      <c r="D30" s="16"/>
      <c r="E30" s="10">
        <f t="shared" si="11"/>
        <v>0.33000000000000007</v>
      </c>
      <c r="F30" s="10">
        <f t="shared" si="2"/>
        <v>-9.629721202442248</v>
      </c>
      <c r="G30" s="10">
        <f t="shared" si="3"/>
        <v>-116.61942124580244</v>
      </c>
      <c r="H30" s="16"/>
      <c r="I30" s="10">
        <f t="shared" si="12"/>
        <v>0.5800000000000001</v>
      </c>
      <c r="J30" s="10">
        <f t="shared" si="4"/>
        <v>-4.731440128741253</v>
      </c>
      <c r="K30" s="10">
        <f t="shared" si="5"/>
        <v>-111.72114017210144</v>
      </c>
      <c r="L30" s="16"/>
      <c r="M30" s="10">
        <f t="shared" si="13"/>
        <v>0.8300000000000001</v>
      </c>
      <c r="N30" s="10">
        <f t="shared" si="6"/>
        <v>-1.6184381524785212</v>
      </c>
      <c r="O30" s="10">
        <f t="shared" si="7"/>
        <v>-108.6081381958387</v>
      </c>
      <c r="P30" s="16"/>
      <c r="Q30" s="10">
        <f t="shared" si="14"/>
        <v>1.08</v>
      </c>
      <c r="R30" s="10">
        <f t="shared" si="8"/>
        <v>0.6684751097389946</v>
      </c>
      <c r="S30" s="10">
        <f t="shared" si="9"/>
        <v>-106.3212249336212</v>
      </c>
      <c r="U30" s="10">
        <v>1</v>
      </c>
      <c r="V30" s="10">
        <f>20*LOG(U30)</f>
        <v>0</v>
      </c>
      <c r="W30" s="95">
        <f>20*LOG(U30)-20*LOG(SQRT(0.001*$F$18)*1000000)</f>
        <v>-106.98970004336019</v>
      </c>
    </row>
    <row r="31" spans="1:23" ht="11.25">
      <c r="A31" s="10">
        <f t="shared" si="10"/>
        <v>0.09</v>
      </c>
      <c r="B31" s="10">
        <f t="shared" si="0"/>
        <v>-20.915149811213503</v>
      </c>
      <c r="C31" s="10">
        <f t="shared" si="1"/>
        <v>-127.90484985457368</v>
      </c>
      <c r="D31" s="16"/>
      <c r="E31" s="10">
        <f t="shared" si="11"/>
        <v>0.3400000000000001</v>
      </c>
      <c r="F31" s="10">
        <f t="shared" si="2"/>
        <v>-9.370421659154895</v>
      </c>
      <c r="G31" s="10">
        <f t="shared" si="3"/>
        <v>-116.36012170251509</v>
      </c>
      <c r="H31" s="16"/>
      <c r="I31" s="10">
        <f t="shared" si="12"/>
        <v>0.5900000000000001</v>
      </c>
      <c r="J31" s="10">
        <f t="shared" si="4"/>
        <v>-4.5829597671571145</v>
      </c>
      <c r="K31" s="10">
        <f t="shared" si="5"/>
        <v>-111.57265981051731</v>
      </c>
      <c r="L31" s="16"/>
      <c r="M31" s="10">
        <f t="shared" si="13"/>
        <v>0.8400000000000001</v>
      </c>
      <c r="N31" s="10">
        <f t="shared" si="6"/>
        <v>-1.514414278762366</v>
      </c>
      <c r="O31" s="10">
        <f t="shared" si="7"/>
        <v>-108.50411432212255</v>
      </c>
      <c r="P31" s="16"/>
      <c r="Q31" s="10">
        <f t="shared" si="14"/>
        <v>1.09</v>
      </c>
      <c r="R31" s="10">
        <f t="shared" si="8"/>
        <v>0.7485299588124733</v>
      </c>
      <c r="S31" s="10">
        <f t="shared" si="9"/>
        <v>-106.24117008454772</v>
      </c>
      <c r="U31" s="10">
        <v>3.16</v>
      </c>
      <c r="V31" s="10">
        <f aca="true" t="shared" si="15" ref="V31:V36">20*LOG(U31)</f>
        <v>9.993741652368076</v>
      </c>
      <c r="W31" s="95">
        <f aca="true" t="shared" si="16" ref="W31:W36">20*LOG(U31)-20*LOG(SQRT(0.001*$F$18)*1000000)</f>
        <v>-96.99595839099212</v>
      </c>
    </row>
    <row r="32" spans="1:23" ht="11.25">
      <c r="A32" s="10">
        <f t="shared" si="10"/>
        <v>0.09999999999999999</v>
      </c>
      <c r="B32" s="10">
        <f t="shared" si="0"/>
        <v>-20</v>
      </c>
      <c r="C32" s="10">
        <f t="shared" si="1"/>
        <v>-126.98970004336019</v>
      </c>
      <c r="D32" s="16"/>
      <c r="E32" s="10">
        <f t="shared" si="11"/>
        <v>0.3500000000000001</v>
      </c>
      <c r="F32" s="10">
        <f t="shared" si="2"/>
        <v>-9.118639112994485</v>
      </c>
      <c r="G32" s="10">
        <f t="shared" si="3"/>
        <v>-116.10833915635467</v>
      </c>
      <c r="H32" s="16"/>
      <c r="I32" s="10">
        <f t="shared" si="12"/>
        <v>0.6000000000000001</v>
      </c>
      <c r="J32" s="10">
        <f t="shared" si="4"/>
        <v>-4.436974992327126</v>
      </c>
      <c r="K32" s="10">
        <f t="shared" si="5"/>
        <v>-111.42667503568731</v>
      </c>
      <c r="L32" s="16"/>
      <c r="M32" s="10">
        <f t="shared" si="13"/>
        <v>0.8500000000000001</v>
      </c>
      <c r="N32" s="10">
        <f t="shared" si="6"/>
        <v>-1.4116214857141443</v>
      </c>
      <c r="O32" s="10">
        <f t="shared" si="7"/>
        <v>-108.40132152907434</v>
      </c>
      <c r="P32" s="16"/>
      <c r="Q32" s="10">
        <f t="shared" si="14"/>
        <v>1.1</v>
      </c>
      <c r="R32" s="10">
        <f t="shared" si="8"/>
        <v>0.8278537031645016</v>
      </c>
      <c r="S32" s="10">
        <f t="shared" si="9"/>
        <v>-106.16184634019568</v>
      </c>
      <c r="U32" s="10">
        <v>5</v>
      </c>
      <c r="V32" s="10">
        <f t="shared" si="15"/>
        <v>13.979400086720377</v>
      </c>
      <c r="W32" s="95">
        <f t="shared" si="16"/>
        <v>-93.01029995663981</v>
      </c>
    </row>
    <row r="33" spans="1:23" ht="11.25">
      <c r="A33" s="10">
        <f t="shared" si="10"/>
        <v>0.10999999999999999</v>
      </c>
      <c r="B33" s="10">
        <f t="shared" si="0"/>
        <v>-19.1721462968355</v>
      </c>
      <c r="C33" s="10">
        <f t="shared" si="1"/>
        <v>-126.1618463401957</v>
      </c>
      <c r="D33" s="16"/>
      <c r="E33" s="10">
        <f t="shared" si="11"/>
        <v>0.3600000000000001</v>
      </c>
      <c r="F33" s="10">
        <f t="shared" si="2"/>
        <v>-8.873949984654253</v>
      </c>
      <c r="G33" s="10">
        <f t="shared" si="3"/>
        <v>-115.86365002801443</v>
      </c>
      <c r="H33" s="16"/>
      <c r="I33" s="10">
        <f t="shared" si="12"/>
        <v>0.6100000000000001</v>
      </c>
      <c r="J33" s="10">
        <f t="shared" si="4"/>
        <v>-4.293403299784658</v>
      </c>
      <c r="K33" s="10">
        <f t="shared" si="5"/>
        <v>-111.28310334314484</v>
      </c>
      <c r="L33" s="16"/>
      <c r="M33" s="10">
        <f t="shared" si="13"/>
        <v>0.8600000000000001</v>
      </c>
      <c r="N33" s="10">
        <f t="shared" si="6"/>
        <v>-1.3100309751286445</v>
      </c>
      <c r="O33" s="10">
        <f t="shared" si="7"/>
        <v>-108.29973101848883</v>
      </c>
      <c r="P33" s="16"/>
      <c r="Q33" s="10">
        <f t="shared" si="14"/>
        <v>1.11</v>
      </c>
      <c r="R33" s="10">
        <f t="shared" si="8"/>
        <v>0.9064595757331495</v>
      </c>
      <c r="S33" s="10">
        <f t="shared" si="9"/>
        <v>-106.08324046762704</v>
      </c>
      <c r="U33" s="10">
        <v>10</v>
      </c>
      <c r="V33" s="10">
        <f t="shared" si="15"/>
        <v>20</v>
      </c>
      <c r="W33" s="95">
        <f t="shared" si="16"/>
        <v>-86.98970004336019</v>
      </c>
    </row>
    <row r="34" spans="1:23" ht="11.25">
      <c r="A34" s="10">
        <f t="shared" si="10"/>
        <v>0.11999999999999998</v>
      </c>
      <c r="B34" s="10">
        <f t="shared" si="0"/>
        <v>-18.416375079047505</v>
      </c>
      <c r="C34" s="10">
        <f t="shared" si="1"/>
        <v>-125.40607512240769</v>
      </c>
      <c r="D34" s="16"/>
      <c r="E34" s="10">
        <f t="shared" si="11"/>
        <v>0.3700000000000001</v>
      </c>
      <c r="F34" s="10">
        <f t="shared" si="2"/>
        <v>-8.635965518660099</v>
      </c>
      <c r="G34" s="10">
        <f t="shared" si="3"/>
        <v>-115.62566556202029</v>
      </c>
      <c r="H34" s="16"/>
      <c r="I34" s="10">
        <f t="shared" si="12"/>
        <v>0.6200000000000001</v>
      </c>
      <c r="J34" s="10">
        <f t="shared" si="4"/>
        <v>-4.152166210034921</v>
      </c>
      <c r="K34" s="10">
        <f t="shared" si="5"/>
        <v>-111.14186625339511</v>
      </c>
      <c r="L34" s="16"/>
      <c r="M34" s="10">
        <f t="shared" si="13"/>
        <v>0.8700000000000001</v>
      </c>
      <c r="N34" s="10">
        <f t="shared" si="6"/>
        <v>-1.2096149476276283</v>
      </c>
      <c r="O34" s="10">
        <f t="shared" si="7"/>
        <v>-108.19931499098782</v>
      </c>
      <c r="P34" s="16"/>
      <c r="Q34" s="10">
        <f t="shared" si="14"/>
        <v>1.12</v>
      </c>
      <c r="R34" s="10">
        <f t="shared" si="8"/>
        <v>0.9843604534036331</v>
      </c>
      <c r="S34" s="10">
        <f t="shared" si="9"/>
        <v>-106.00533958995655</v>
      </c>
      <c r="U34" s="10">
        <v>15</v>
      </c>
      <c r="V34" s="10">
        <f t="shared" si="15"/>
        <v>23.521825181113627</v>
      </c>
      <c r="W34" s="17">
        <f t="shared" si="16"/>
        <v>-83.46787486224656</v>
      </c>
    </row>
    <row r="35" spans="1:23" ht="11.25">
      <c r="A35" s="10">
        <f t="shared" si="10"/>
        <v>0.12999999999999998</v>
      </c>
      <c r="B35" s="10">
        <f t="shared" si="0"/>
        <v>-17.721132953863265</v>
      </c>
      <c r="C35" s="10">
        <f t="shared" si="1"/>
        <v>-124.71083299722345</v>
      </c>
      <c r="D35" s="16"/>
      <c r="E35" s="10">
        <f t="shared" si="11"/>
        <v>0.3800000000000001</v>
      </c>
      <c r="F35" s="10">
        <f t="shared" si="2"/>
        <v>-8.404328067663794</v>
      </c>
      <c r="G35" s="10">
        <f t="shared" si="3"/>
        <v>-115.39402811102399</v>
      </c>
      <c r="H35" s="16"/>
      <c r="I35" s="10">
        <f t="shared" si="12"/>
        <v>0.6300000000000001</v>
      </c>
      <c r="J35" s="10">
        <f t="shared" si="4"/>
        <v>-4.0131890109283646</v>
      </c>
      <c r="K35" s="10">
        <f t="shared" si="5"/>
        <v>-111.00288905428854</v>
      </c>
      <c r="L35" s="16"/>
      <c r="M35" s="10">
        <f t="shared" si="13"/>
        <v>0.8800000000000001</v>
      </c>
      <c r="N35" s="10">
        <f t="shared" si="6"/>
        <v>-1.1103465569966262</v>
      </c>
      <c r="O35" s="10">
        <f t="shared" si="7"/>
        <v>-108.10004660035682</v>
      </c>
      <c r="P35" s="16"/>
      <c r="Q35" s="10">
        <f t="shared" si="14"/>
        <v>1.1300000000000001</v>
      </c>
      <c r="R35" s="10">
        <f t="shared" si="8"/>
        <v>1.0615688696683954</v>
      </c>
      <c r="S35" s="10">
        <f t="shared" si="9"/>
        <v>-105.9281311736918</v>
      </c>
      <c r="U35" s="10">
        <v>50</v>
      </c>
      <c r="V35" s="10">
        <f t="shared" si="15"/>
        <v>33.979400086720375</v>
      </c>
      <c r="W35" s="95">
        <f t="shared" si="16"/>
        <v>-73.01029995663981</v>
      </c>
    </row>
    <row r="36" spans="1:23" ht="11.25">
      <c r="A36" s="10">
        <f t="shared" si="10"/>
        <v>0.13999999999999999</v>
      </c>
      <c r="B36" s="10">
        <f t="shared" si="0"/>
        <v>-17.07743928643524</v>
      </c>
      <c r="C36" s="10">
        <f t="shared" si="1"/>
        <v>-124.06713932979542</v>
      </c>
      <c r="D36" s="16"/>
      <c r="E36" s="10">
        <f t="shared" si="11"/>
        <v>0.3900000000000001</v>
      </c>
      <c r="F36" s="10">
        <f t="shared" si="2"/>
        <v>-8.178707859470013</v>
      </c>
      <c r="G36" s="10">
        <f t="shared" si="3"/>
        <v>-115.1684079028302</v>
      </c>
      <c r="H36" s="16"/>
      <c r="I36" s="10">
        <f t="shared" si="12"/>
        <v>0.6400000000000001</v>
      </c>
      <c r="J36" s="10">
        <f t="shared" si="4"/>
        <v>-3.876400520322255</v>
      </c>
      <c r="K36" s="10">
        <f t="shared" si="5"/>
        <v>-110.86610056368244</v>
      </c>
      <c r="L36" s="16"/>
      <c r="M36" s="10">
        <f t="shared" si="13"/>
        <v>0.8900000000000001</v>
      </c>
      <c r="N36" s="10">
        <f t="shared" si="6"/>
        <v>-1.0121998671017431</v>
      </c>
      <c r="O36" s="10">
        <f t="shared" si="7"/>
        <v>-108.00189991046193</v>
      </c>
      <c r="P36" s="16"/>
      <c r="Q36" s="10">
        <f t="shared" si="14"/>
        <v>1.1400000000000001</v>
      </c>
      <c r="R36" s="10">
        <f t="shared" si="8"/>
        <v>1.1380970267294528</v>
      </c>
      <c r="S36" s="10">
        <f t="shared" si="9"/>
        <v>-105.85160301663073</v>
      </c>
      <c r="U36" s="10">
        <v>100</v>
      </c>
      <c r="V36" s="10">
        <f t="shared" si="15"/>
        <v>40</v>
      </c>
      <c r="W36" s="95">
        <f t="shared" si="16"/>
        <v>-66.98970004336019</v>
      </c>
    </row>
    <row r="37" spans="1:19" ht="11.25">
      <c r="A37" s="10">
        <f t="shared" si="10"/>
        <v>0.15</v>
      </c>
      <c r="B37" s="10">
        <f t="shared" si="0"/>
        <v>-16.478174818886377</v>
      </c>
      <c r="C37" s="10">
        <f t="shared" si="1"/>
        <v>-123.46787486224656</v>
      </c>
      <c r="D37" s="16"/>
      <c r="E37" s="10">
        <f t="shared" si="11"/>
        <v>0.40000000000000013</v>
      </c>
      <c r="F37" s="10">
        <f t="shared" si="2"/>
        <v>-7.958800173440749</v>
      </c>
      <c r="G37" s="10">
        <f t="shared" si="3"/>
        <v>-114.94850021680094</v>
      </c>
      <c r="H37" s="16"/>
      <c r="I37" s="10">
        <f t="shared" si="12"/>
        <v>0.6500000000000001</v>
      </c>
      <c r="J37" s="10">
        <f t="shared" si="4"/>
        <v>-3.7417328671428867</v>
      </c>
      <c r="K37" s="10">
        <f t="shared" si="5"/>
        <v>-110.73143291050307</v>
      </c>
      <c r="L37" s="16"/>
      <c r="M37" s="10">
        <f t="shared" si="13"/>
        <v>0.9000000000000001</v>
      </c>
      <c r="N37" s="10">
        <f t="shared" si="6"/>
        <v>-0.9151498112135013</v>
      </c>
      <c r="O37" s="10">
        <f t="shared" si="7"/>
        <v>-107.90484985457368</v>
      </c>
      <c r="P37" s="16"/>
      <c r="Q37" s="10">
        <f t="shared" si="14"/>
        <v>1.1500000000000001</v>
      </c>
      <c r="R37" s="10">
        <f t="shared" si="8"/>
        <v>1.2139568070722346</v>
      </c>
      <c r="S37" s="10">
        <f t="shared" si="9"/>
        <v>-105.77574323628795</v>
      </c>
    </row>
    <row r="38" spans="1:19" ht="11.25">
      <c r="A38" s="10">
        <f t="shared" si="10"/>
        <v>0.16</v>
      </c>
      <c r="B38" s="10">
        <f t="shared" si="0"/>
        <v>-15.917600346881503</v>
      </c>
      <c r="C38" s="10">
        <f t="shared" si="1"/>
        <v>-122.90730039024169</v>
      </c>
      <c r="D38" s="16"/>
      <c r="E38" s="10">
        <f t="shared" si="11"/>
        <v>0.41000000000000014</v>
      </c>
      <c r="F38" s="10">
        <f t="shared" si="2"/>
        <v>-7.744322865605287</v>
      </c>
      <c r="G38" s="10">
        <f t="shared" si="3"/>
        <v>-114.73402290896547</v>
      </c>
      <c r="H38" s="16"/>
      <c r="I38" s="10">
        <f t="shared" si="12"/>
        <v>0.6600000000000001</v>
      </c>
      <c r="J38" s="10">
        <f t="shared" si="4"/>
        <v>-3.6091212891626245</v>
      </c>
      <c r="K38" s="10">
        <f t="shared" si="5"/>
        <v>-110.59882133252282</v>
      </c>
      <c r="L38" s="16"/>
      <c r="M38" s="10">
        <f t="shared" si="13"/>
        <v>0.9100000000000001</v>
      </c>
      <c r="N38" s="10">
        <f t="shared" si="6"/>
        <v>-0.8191721535781267</v>
      </c>
      <c r="O38" s="10">
        <f t="shared" si="7"/>
        <v>-107.80887219693831</v>
      </c>
      <c r="P38" s="16"/>
      <c r="Q38" s="10">
        <f t="shared" si="14"/>
        <v>1.1600000000000001</v>
      </c>
      <c r="R38" s="10">
        <f t="shared" si="8"/>
        <v>1.2891597845383707</v>
      </c>
      <c r="S38" s="10">
        <f t="shared" si="9"/>
        <v>-105.70054025882182</v>
      </c>
    </row>
    <row r="39" spans="1:19" ht="11.25">
      <c r="A39" s="10">
        <f t="shared" si="10"/>
        <v>0.17</v>
      </c>
      <c r="B39" s="10">
        <f t="shared" si="0"/>
        <v>-15.39102157243452</v>
      </c>
      <c r="C39" s="10">
        <f t="shared" si="1"/>
        <v>-122.38072161579471</v>
      </c>
      <c r="D39" s="16"/>
      <c r="E39" s="10">
        <f t="shared" si="11"/>
        <v>0.42000000000000015</v>
      </c>
      <c r="F39" s="10">
        <f t="shared" si="2"/>
        <v>-7.535014192041988</v>
      </c>
      <c r="G39" s="10">
        <f t="shared" si="3"/>
        <v>-114.52471423540217</v>
      </c>
      <c r="H39" s="16"/>
      <c r="I39" s="10">
        <f t="shared" si="12"/>
        <v>0.6700000000000002</v>
      </c>
      <c r="J39" s="10">
        <f t="shared" si="4"/>
        <v>-3.4785039459834692</v>
      </c>
      <c r="K39" s="10">
        <f t="shared" si="5"/>
        <v>-110.46820398934366</v>
      </c>
      <c r="L39" s="16"/>
      <c r="M39" s="10">
        <f t="shared" si="13"/>
        <v>0.9200000000000002</v>
      </c>
      <c r="N39" s="10">
        <f t="shared" si="6"/>
        <v>-0.7242434530888932</v>
      </c>
      <c r="O39" s="10">
        <f t="shared" si="7"/>
        <v>-107.71394349644908</v>
      </c>
      <c r="P39" s="16"/>
      <c r="Q39" s="10">
        <f t="shared" si="14"/>
        <v>1.1700000000000002</v>
      </c>
      <c r="R39" s="10">
        <f t="shared" si="8"/>
        <v>1.363717234923234</v>
      </c>
      <c r="S39" s="10">
        <f t="shared" si="9"/>
        <v>-105.62598280843696</v>
      </c>
    </row>
    <row r="40" spans="1:19" ht="11.25">
      <c r="A40" s="10">
        <f t="shared" si="10"/>
        <v>0.18000000000000002</v>
      </c>
      <c r="B40" s="10">
        <f t="shared" si="0"/>
        <v>-14.894549897933878</v>
      </c>
      <c r="C40" s="10">
        <f t="shared" si="1"/>
        <v>-121.88424994129406</v>
      </c>
      <c r="D40" s="16"/>
      <c r="E40" s="10">
        <f t="shared" si="11"/>
        <v>0.43000000000000016</v>
      </c>
      <c r="F40" s="10">
        <f t="shared" si="2"/>
        <v>-7.330630888408266</v>
      </c>
      <c r="G40" s="10">
        <f t="shared" si="3"/>
        <v>-114.32033093176845</v>
      </c>
      <c r="H40" s="16"/>
      <c r="I40" s="10">
        <f t="shared" si="12"/>
        <v>0.6800000000000002</v>
      </c>
      <c r="J40" s="10">
        <f t="shared" si="4"/>
        <v>-3.3498217458752717</v>
      </c>
      <c r="K40" s="10">
        <f t="shared" si="5"/>
        <v>-110.33952178923546</v>
      </c>
      <c r="L40" s="16"/>
      <c r="M40" s="10">
        <f t="shared" si="13"/>
        <v>0.9300000000000002</v>
      </c>
      <c r="N40" s="10">
        <f t="shared" si="6"/>
        <v>-0.6303410289212962</v>
      </c>
      <c r="O40" s="10">
        <f t="shared" si="7"/>
        <v>-107.62004107228148</v>
      </c>
      <c r="P40" s="16"/>
      <c r="Q40" s="10">
        <f t="shared" si="14"/>
        <v>1.1800000000000002</v>
      </c>
      <c r="R40" s="10">
        <f t="shared" si="8"/>
        <v>1.4376401461225088</v>
      </c>
      <c r="S40" s="10">
        <f t="shared" si="9"/>
        <v>-105.55205989723768</v>
      </c>
    </row>
    <row r="41" spans="1:19" ht="11.25">
      <c r="A41" s="10">
        <f t="shared" si="10"/>
        <v>0.19000000000000003</v>
      </c>
      <c r="B41" s="10">
        <f t="shared" si="0"/>
        <v>-14.42492798094342</v>
      </c>
      <c r="C41" s="10">
        <f t="shared" si="1"/>
        <v>-121.41462802430361</v>
      </c>
      <c r="D41" s="16"/>
      <c r="E41" s="10">
        <f t="shared" si="11"/>
        <v>0.44000000000000017</v>
      </c>
      <c r="F41" s="10">
        <f t="shared" si="2"/>
        <v>-7.130946470276248</v>
      </c>
      <c r="G41" s="10">
        <f t="shared" si="3"/>
        <v>-114.12064651363643</v>
      </c>
      <c r="H41" s="16"/>
      <c r="I41" s="10">
        <f t="shared" si="12"/>
        <v>0.6900000000000002</v>
      </c>
      <c r="J41" s="10">
        <f t="shared" si="4"/>
        <v>-3.2230181852548916</v>
      </c>
      <c r="K41" s="10">
        <f t="shared" si="5"/>
        <v>-110.21271822861507</v>
      </c>
      <c r="L41" s="16"/>
      <c r="M41" s="10">
        <f t="shared" si="13"/>
        <v>0.9400000000000002</v>
      </c>
      <c r="N41" s="10">
        <f t="shared" si="6"/>
        <v>-0.5374429280060253</v>
      </c>
      <c r="O41" s="10">
        <f t="shared" si="7"/>
        <v>-107.52714297136622</v>
      </c>
      <c r="P41" s="16"/>
      <c r="Q41" s="10">
        <f t="shared" si="14"/>
        <v>1.1900000000000002</v>
      </c>
      <c r="R41" s="10">
        <f t="shared" si="8"/>
        <v>1.5109392278506164</v>
      </c>
      <c r="S41" s="10">
        <f t="shared" si="9"/>
        <v>-105.47876081550957</v>
      </c>
    </row>
    <row r="42" spans="1:19" ht="11.25">
      <c r="A42" s="10">
        <f t="shared" si="10"/>
        <v>0.20000000000000004</v>
      </c>
      <c r="B42" s="10">
        <f t="shared" si="0"/>
        <v>-13.979400086720375</v>
      </c>
      <c r="C42" s="10">
        <f t="shared" si="1"/>
        <v>-120.96910013008056</v>
      </c>
      <c r="D42" s="16"/>
      <c r="E42" s="10">
        <f t="shared" si="11"/>
        <v>0.4500000000000002</v>
      </c>
      <c r="F42" s="10">
        <f t="shared" si="2"/>
        <v>-6.935749724493123</v>
      </c>
      <c r="G42" s="10">
        <f t="shared" si="3"/>
        <v>-113.92544976785331</v>
      </c>
      <c r="H42" s="16"/>
      <c r="I42" s="10">
        <f t="shared" si="12"/>
        <v>0.7000000000000002</v>
      </c>
      <c r="J42" s="10">
        <f t="shared" si="4"/>
        <v>-3.098039199714861</v>
      </c>
      <c r="K42" s="10">
        <f t="shared" si="5"/>
        <v>-110.08773924307505</v>
      </c>
      <c r="L42" s="16"/>
      <c r="M42" s="10">
        <f t="shared" si="13"/>
        <v>0.9500000000000002</v>
      </c>
      <c r="N42" s="10">
        <f t="shared" si="6"/>
        <v>-0.44552789422304306</v>
      </c>
      <c r="O42" s="10">
        <f t="shared" si="7"/>
        <v>-107.43522793758324</v>
      </c>
      <c r="P42" s="16"/>
      <c r="Q42" s="10">
        <f t="shared" si="14"/>
        <v>1.2000000000000002</v>
      </c>
      <c r="R42" s="10">
        <f t="shared" si="8"/>
        <v>1.5836249209524977</v>
      </c>
      <c r="S42" s="10">
        <f t="shared" si="9"/>
        <v>-105.40607512240769</v>
      </c>
    </row>
    <row r="43" spans="1:19" ht="11.25">
      <c r="A43" s="10">
        <f>A42+0.01</f>
        <v>0.21000000000000005</v>
      </c>
      <c r="B43" s="10">
        <f t="shared" si="0"/>
        <v>-13.555614105321611</v>
      </c>
      <c r="C43" s="10">
        <f t="shared" si="1"/>
        <v>-120.5453141486818</v>
      </c>
      <c r="D43" s="16"/>
      <c r="E43" s="10">
        <f t="shared" si="11"/>
        <v>0.4600000000000002</v>
      </c>
      <c r="F43" s="10">
        <f t="shared" si="2"/>
        <v>-6.744843366368515</v>
      </c>
      <c r="G43" s="10">
        <f t="shared" si="3"/>
        <v>-113.7345434097287</v>
      </c>
      <c r="H43" s="16"/>
      <c r="I43" s="10">
        <f t="shared" si="12"/>
        <v>0.7100000000000002</v>
      </c>
      <c r="J43" s="10">
        <f t="shared" si="4"/>
        <v>-2.9748330256184916</v>
      </c>
      <c r="K43" s="10">
        <f t="shared" si="5"/>
        <v>-109.96453306897868</v>
      </c>
      <c r="L43" s="16"/>
      <c r="M43" s="10">
        <f t="shared" si="13"/>
        <v>0.9600000000000002</v>
      </c>
      <c r="N43" s="10">
        <f t="shared" si="6"/>
        <v>-0.35457533920863005</v>
      </c>
      <c r="O43" s="10">
        <f t="shared" si="7"/>
        <v>-107.34427538256882</v>
      </c>
      <c r="P43" s="16"/>
      <c r="Q43" s="10">
        <f t="shared" si="14"/>
        <v>1.2100000000000002</v>
      </c>
      <c r="R43" s="10">
        <f t="shared" si="8"/>
        <v>1.6557074063290032</v>
      </c>
      <c r="S43" s="10">
        <f t="shared" si="9"/>
        <v>-105.33399263703119</v>
      </c>
    </row>
    <row r="44" spans="1:19" ht="11.25">
      <c r="A44" s="10">
        <f>A43+0.01</f>
        <v>0.22000000000000006</v>
      </c>
      <c r="B44" s="10">
        <f t="shared" si="0"/>
        <v>-13.151546383555871</v>
      </c>
      <c r="C44" s="10">
        <f t="shared" si="1"/>
        <v>-120.14124642691606</v>
      </c>
      <c r="D44" s="16"/>
      <c r="E44" s="10">
        <f t="shared" si="11"/>
        <v>0.4700000000000002</v>
      </c>
      <c r="F44" s="10">
        <f t="shared" si="2"/>
        <v>-6.558042841285648</v>
      </c>
      <c r="G44" s="10">
        <f t="shared" si="3"/>
        <v>-113.54774288464583</v>
      </c>
      <c r="H44" s="16"/>
      <c r="I44" s="10">
        <f t="shared" si="12"/>
        <v>0.7200000000000002</v>
      </c>
      <c r="J44" s="10">
        <f t="shared" si="4"/>
        <v>-2.8533500713746287</v>
      </c>
      <c r="K44" s="10">
        <f t="shared" si="5"/>
        <v>-109.84305011473482</v>
      </c>
      <c r="L44" s="16"/>
      <c r="M44" s="10">
        <f t="shared" si="13"/>
        <v>0.9700000000000002</v>
      </c>
      <c r="N44" s="10">
        <f t="shared" si="6"/>
        <v>-0.26456531467510125</v>
      </c>
      <c r="O44" s="10">
        <f t="shared" si="7"/>
        <v>-107.25426535803528</v>
      </c>
      <c r="P44" s="16"/>
      <c r="Q44" s="10">
        <f t="shared" si="14"/>
        <v>1.2200000000000002</v>
      </c>
      <c r="R44" s="10">
        <f t="shared" si="8"/>
        <v>1.727196613494966</v>
      </c>
      <c r="S44" s="10">
        <f t="shared" si="9"/>
        <v>-105.26250342986522</v>
      </c>
    </row>
    <row r="45" spans="1:19" ht="11.25">
      <c r="A45" s="10">
        <f>A44+0.01</f>
        <v>0.23000000000000007</v>
      </c>
      <c r="B45" s="10">
        <f t="shared" si="0"/>
        <v>-12.76544327964814</v>
      </c>
      <c r="C45" s="10">
        <f t="shared" si="1"/>
        <v>-119.75514332300833</v>
      </c>
      <c r="D45" s="16"/>
      <c r="E45" s="10">
        <f t="shared" si="11"/>
        <v>0.4800000000000002</v>
      </c>
      <c r="F45" s="10">
        <f t="shared" si="2"/>
        <v>-6.375175252488252</v>
      </c>
      <c r="G45" s="10">
        <f t="shared" si="3"/>
        <v>-113.36487529584844</v>
      </c>
      <c r="H45" s="16"/>
      <c r="I45" s="10">
        <f t="shared" si="12"/>
        <v>0.7300000000000002</v>
      </c>
      <c r="J45" s="10">
        <f t="shared" si="4"/>
        <v>-2.7335427975908795</v>
      </c>
      <c r="K45" s="10">
        <f t="shared" si="5"/>
        <v>-109.72324284095107</v>
      </c>
      <c r="L45" s="16"/>
      <c r="M45" s="10">
        <f t="shared" si="13"/>
        <v>0.9800000000000002</v>
      </c>
      <c r="N45" s="10">
        <f t="shared" si="6"/>
        <v>-0.17547848615010106</v>
      </c>
      <c r="O45" s="10">
        <f t="shared" si="7"/>
        <v>-107.16517852951029</v>
      </c>
      <c r="P45" s="16"/>
      <c r="Q45" s="10">
        <f t="shared" si="14"/>
        <v>1.2300000000000002</v>
      </c>
      <c r="R45" s="10">
        <f t="shared" si="8"/>
        <v>1.79810222878796</v>
      </c>
      <c r="S45" s="10">
        <f t="shared" si="9"/>
        <v>-105.19159781457223</v>
      </c>
    </row>
    <row r="46" spans="1:19" ht="11.25">
      <c r="A46" s="10">
        <f>A45+0.01</f>
        <v>0.24000000000000007</v>
      </c>
      <c r="B46" s="10">
        <f t="shared" si="0"/>
        <v>-12.395775165767876</v>
      </c>
      <c r="C46" s="10">
        <f t="shared" si="1"/>
        <v>-119.38547520912806</v>
      </c>
      <c r="D46" s="16"/>
      <c r="E46" s="10">
        <f t="shared" si="11"/>
        <v>0.4900000000000002</v>
      </c>
      <c r="F46" s="10">
        <f t="shared" si="2"/>
        <v>-6.196078399429723</v>
      </c>
      <c r="G46" s="10">
        <f t="shared" si="3"/>
        <v>-113.18577844278991</v>
      </c>
      <c r="H46" s="16"/>
      <c r="I46" s="10">
        <f t="shared" si="12"/>
        <v>0.7400000000000002</v>
      </c>
      <c r="J46" s="10">
        <f t="shared" si="4"/>
        <v>-2.6153656053804735</v>
      </c>
      <c r="K46" s="10">
        <f t="shared" si="5"/>
        <v>-109.60506564874066</v>
      </c>
      <c r="L46" s="16"/>
      <c r="M46" s="10">
        <f t="shared" si="13"/>
        <v>0.9900000000000002</v>
      </c>
      <c r="N46" s="10">
        <f t="shared" si="6"/>
        <v>-0.08729610804899982</v>
      </c>
      <c r="O46" s="10">
        <f t="shared" si="7"/>
        <v>-107.07699615140919</v>
      </c>
      <c r="P46" s="16"/>
      <c r="Q46" s="10">
        <f t="shared" si="14"/>
        <v>1.2400000000000002</v>
      </c>
      <c r="R46" s="10">
        <f t="shared" si="8"/>
        <v>1.868433703244703</v>
      </c>
      <c r="S46" s="10">
        <f t="shared" si="9"/>
        <v>-105.12126634011548</v>
      </c>
    </row>
    <row r="47" spans="1:19" ht="12">
      <c r="A47" s="10">
        <f>A46+0.01</f>
        <v>0.25000000000000006</v>
      </c>
      <c r="B47" s="17">
        <f t="shared" si="0"/>
        <v>-12.041199826559247</v>
      </c>
      <c r="C47" s="10">
        <f t="shared" si="1"/>
        <v>-119.03089986991944</v>
      </c>
      <c r="D47" s="16"/>
      <c r="E47" s="10">
        <f t="shared" si="11"/>
        <v>0.5000000000000002</v>
      </c>
      <c r="F47" s="10">
        <f t="shared" si="2"/>
        <v>-6.02059991327962</v>
      </c>
      <c r="G47" s="10">
        <f t="shared" si="3"/>
        <v>-113.01029995663981</v>
      </c>
      <c r="H47" s="16"/>
      <c r="I47" s="10">
        <f t="shared" si="12"/>
        <v>0.7500000000000002</v>
      </c>
      <c r="J47" s="10">
        <f t="shared" si="4"/>
        <v>-2.4987747321659963</v>
      </c>
      <c r="K47" s="10">
        <f t="shared" si="5"/>
        <v>-109.48847477552619</v>
      </c>
      <c r="L47" s="16"/>
      <c r="M47" s="93">
        <f t="shared" si="13"/>
        <v>1.0000000000000002</v>
      </c>
      <c r="N47" s="93">
        <f t="shared" si="6"/>
        <v>1.928654933106574E-15</v>
      </c>
      <c r="O47" s="94">
        <f t="shared" si="7"/>
        <v>-106.98970004336019</v>
      </c>
      <c r="P47" s="16"/>
      <c r="Q47" s="10">
        <f t="shared" si="14"/>
        <v>1.2500000000000002</v>
      </c>
      <c r="R47" s="10">
        <f t="shared" si="8"/>
        <v>1.9382002601611297</v>
      </c>
      <c r="S47" s="10">
        <f t="shared" si="9"/>
        <v>-105.05149978319906</v>
      </c>
    </row>
    <row r="48" spans="1:19" ht="11.25">
      <c r="A48" s="3"/>
      <c r="B48" s="4"/>
      <c r="C48" s="4"/>
      <c r="E48" s="3"/>
      <c r="F48" s="4"/>
      <c r="G48" s="4"/>
      <c r="I48" s="3"/>
      <c r="J48" s="4"/>
      <c r="K48" s="4"/>
      <c r="M48" s="5"/>
      <c r="N48" s="6"/>
      <c r="O48" s="6"/>
      <c r="Q48" s="3"/>
      <c r="R48" s="4"/>
      <c r="S48" s="4"/>
    </row>
  </sheetData>
  <sheetProtection sheet="1" formatCells="0"/>
  <mergeCells count="26">
    <mergeCell ref="M6:T6"/>
    <mergeCell ref="M8:P8"/>
    <mergeCell ref="M12:P12"/>
    <mergeCell ref="M10:Q11"/>
    <mergeCell ref="D10:E10"/>
    <mergeCell ref="F10:G10"/>
    <mergeCell ref="H10:J10"/>
    <mergeCell ref="D12:E12"/>
    <mergeCell ref="F12:G12"/>
    <mergeCell ref="H12:J12"/>
    <mergeCell ref="D14:E14"/>
    <mergeCell ref="F14:G14"/>
    <mergeCell ref="A20:S20"/>
    <mergeCell ref="D15:E15"/>
    <mergeCell ref="F15:G15"/>
    <mergeCell ref="H15:J15"/>
    <mergeCell ref="H14:J14"/>
    <mergeCell ref="D5:E5"/>
    <mergeCell ref="F5:G5"/>
    <mergeCell ref="H5:J5"/>
    <mergeCell ref="D8:E8"/>
    <mergeCell ref="F8:G8"/>
    <mergeCell ref="H8:J8"/>
    <mergeCell ref="D6:E6"/>
    <mergeCell ref="F6:G6"/>
    <mergeCell ref="H6:J6"/>
  </mergeCells>
  <hyperlinks>
    <hyperlink ref="M6" r:id="rId1" display="https://qrvradio.fr/Radio.htm"/>
    <hyperlink ref="M8" r:id="rId2" display="QRV@wanadoo.fr"/>
  </hyperlinks>
  <printOptions/>
  <pageMargins left="0.787401575" right="0.787401575" top="0.984251969" bottom="0.984251969" header="0.4921259845" footer="0.492125984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G29" sqref="G29:K29"/>
    </sheetView>
  </sheetViews>
  <sheetFormatPr defaultColWidth="11.421875" defaultRowHeight="12.75"/>
  <cols>
    <col min="1" max="1" width="6.140625" style="2" customWidth="1"/>
    <col min="2" max="9" width="9.00390625" style="16" customWidth="1"/>
    <col min="10" max="19" width="9.28125" style="16" customWidth="1"/>
    <col min="20" max="20" width="10.140625" style="16" customWidth="1"/>
    <col min="21" max="16384" width="11.421875" style="2" customWidth="1"/>
  </cols>
  <sheetData>
    <row r="1" spans="1:2" ht="12.75">
      <c r="A1" s="55" t="s">
        <v>17</v>
      </c>
      <c r="B1" s="2"/>
    </row>
    <row r="2" spans="1:2" ht="9" customHeight="1">
      <c r="A2" s="56"/>
      <c r="B2" s="2"/>
    </row>
    <row r="3" spans="1:20" ht="12.75">
      <c r="A3" s="57" t="s">
        <v>21</v>
      </c>
      <c r="B3" s="58"/>
      <c r="C3" s="59"/>
      <c r="D3" s="59"/>
      <c r="E3" s="59"/>
      <c r="F3" s="59"/>
      <c r="G3" s="59"/>
      <c r="H3" s="59"/>
      <c r="I3" s="59"/>
      <c r="J3" s="60" t="s">
        <v>15</v>
      </c>
      <c r="K3" s="138" t="s">
        <v>18</v>
      </c>
      <c r="L3" s="139"/>
      <c r="M3" s="139"/>
      <c r="N3" s="139"/>
      <c r="O3" s="139"/>
      <c r="P3" s="139"/>
      <c r="Q3" s="139"/>
      <c r="R3" s="139"/>
      <c r="S3" s="139"/>
      <c r="T3" s="140"/>
    </row>
    <row r="4" spans="1:20" ht="12.75">
      <c r="A4" s="61" t="s">
        <v>16</v>
      </c>
      <c r="B4" s="61">
        <v>1</v>
      </c>
      <c r="C4" s="61">
        <v>2</v>
      </c>
      <c r="D4" s="61">
        <v>3</v>
      </c>
      <c r="E4" s="61">
        <v>4</v>
      </c>
      <c r="F4" s="61">
        <v>5</v>
      </c>
      <c r="G4" s="61">
        <v>6</v>
      </c>
      <c r="H4" s="61">
        <v>7</v>
      </c>
      <c r="I4" s="62">
        <v>8</v>
      </c>
      <c r="J4" s="63">
        <v>9</v>
      </c>
      <c r="K4" s="64">
        <v>10</v>
      </c>
      <c r="L4" s="65">
        <v>20</v>
      </c>
      <c r="M4" s="65">
        <v>30</v>
      </c>
      <c r="N4" s="65">
        <v>40</v>
      </c>
      <c r="O4" s="65">
        <v>50</v>
      </c>
      <c r="P4" s="65">
        <v>60</v>
      </c>
      <c r="Q4" s="65">
        <v>70</v>
      </c>
      <c r="R4" s="65">
        <v>80</v>
      </c>
      <c r="S4" s="65">
        <v>90</v>
      </c>
      <c r="T4" s="65">
        <v>100</v>
      </c>
    </row>
    <row r="5" spans="1:20" ht="12.75">
      <c r="A5" s="66" t="s">
        <v>1</v>
      </c>
      <c r="B5" s="91">
        <f aca="true" t="shared" si="0" ref="B5:H5">C5-6</f>
        <v>-121</v>
      </c>
      <c r="C5" s="91">
        <f t="shared" si="0"/>
        <v>-115</v>
      </c>
      <c r="D5" s="91">
        <f t="shared" si="0"/>
        <v>-109</v>
      </c>
      <c r="E5" s="91">
        <f t="shared" si="0"/>
        <v>-103</v>
      </c>
      <c r="F5" s="91">
        <f t="shared" si="0"/>
        <v>-97</v>
      </c>
      <c r="G5" s="91">
        <f t="shared" si="0"/>
        <v>-91</v>
      </c>
      <c r="H5" s="91">
        <f t="shared" si="0"/>
        <v>-85</v>
      </c>
      <c r="I5" s="91">
        <f>J5-6</f>
        <v>-79</v>
      </c>
      <c r="J5" s="88">
        <v>-73</v>
      </c>
      <c r="K5" s="92">
        <f>J5+10</f>
        <v>-63</v>
      </c>
      <c r="L5" s="91">
        <f aca="true" t="shared" si="1" ref="L5:T5">K5+10</f>
        <v>-53</v>
      </c>
      <c r="M5" s="91">
        <f t="shared" si="1"/>
        <v>-43</v>
      </c>
      <c r="N5" s="91">
        <f t="shared" si="1"/>
        <v>-33</v>
      </c>
      <c r="O5" s="91">
        <f t="shared" si="1"/>
        <v>-23</v>
      </c>
      <c r="P5" s="91">
        <f t="shared" si="1"/>
        <v>-13</v>
      </c>
      <c r="Q5" s="91">
        <f t="shared" si="1"/>
        <v>-3</v>
      </c>
      <c r="R5" s="91">
        <f t="shared" si="1"/>
        <v>7</v>
      </c>
      <c r="S5" s="91">
        <f t="shared" si="1"/>
        <v>17</v>
      </c>
      <c r="T5" s="91">
        <f t="shared" si="1"/>
        <v>27</v>
      </c>
    </row>
    <row r="6" spans="1:20" ht="11.25">
      <c r="A6" s="66" t="s">
        <v>10</v>
      </c>
      <c r="B6" s="67">
        <f aca="true" t="shared" si="2" ref="B6:I6">B5+20*LOG(SQRT(0.001*50)*1000000)</f>
        <v>-14.010299956639813</v>
      </c>
      <c r="C6" s="67">
        <f t="shared" si="2"/>
        <v>-8.010299956639813</v>
      </c>
      <c r="D6" s="67">
        <f t="shared" si="2"/>
        <v>-2.0102999566398125</v>
      </c>
      <c r="E6" s="67">
        <f t="shared" si="2"/>
        <v>3.9897000433601875</v>
      </c>
      <c r="F6" s="67">
        <f t="shared" si="2"/>
        <v>9.989700043360187</v>
      </c>
      <c r="G6" s="67">
        <f t="shared" si="2"/>
        <v>15.989700043360187</v>
      </c>
      <c r="H6" s="67">
        <f t="shared" si="2"/>
        <v>21.989700043360187</v>
      </c>
      <c r="I6" s="67">
        <f t="shared" si="2"/>
        <v>27.989700043360187</v>
      </c>
      <c r="J6" s="67">
        <f>J5+20*LOG(SQRT(0.001*50)*1000000)</f>
        <v>33.98970004336019</v>
      </c>
      <c r="K6" s="68">
        <f aca="true" t="shared" si="3" ref="K6:T6">K5+20*LOG(SQRT(0.001*50)*1000000)</f>
        <v>43.98970004336019</v>
      </c>
      <c r="L6" s="67">
        <f t="shared" si="3"/>
        <v>53.98970004336019</v>
      </c>
      <c r="M6" s="67">
        <f t="shared" si="3"/>
        <v>63.98970004336019</v>
      </c>
      <c r="N6" s="67">
        <f t="shared" si="3"/>
        <v>73.98970004336019</v>
      </c>
      <c r="O6" s="67">
        <f t="shared" si="3"/>
        <v>83.98970004336019</v>
      </c>
      <c r="P6" s="67">
        <f t="shared" si="3"/>
        <v>93.98970004336019</v>
      </c>
      <c r="Q6" s="67">
        <f t="shared" si="3"/>
        <v>103.98970004336019</v>
      </c>
      <c r="R6" s="67">
        <f t="shared" si="3"/>
        <v>113.98970004336019</v>
      </c>
      <c r="S6" s="67">
        <f t="shared" si="3"/>
        <v>123.98970004336019</v>
      </c>
      <c r="T6" s="67">
        <f t="shared" si="3"/>
        <v>133.9897000433602</v>
      </c>
    </row>
    <row r="7" spans="1:20" ht="12.75">
      <c r="A7" s="66" t="s">
        <v>24</v>
      </c>
      <c r="B7" s="84">
        <f aca="true" t="shared" si="4" ref="B7:L7">10^((B5+20*LOG(SQRT(0.001*50)*1000000))/20)</f>
        <v>0.19928976826775138</v>
      </c>
      <c r="C7" s="84">
        <f t="shared" si="4"/>
        <v>0.39763536438352526</v>
      </c>
      <c r="D7" s="84">
        <f t="shared" si="4"/>
        <v>0.7933868576533667</v>
      </c>
      <c r="E7" s="84">
        <f t="shared" si="4"/>
        <v>1.5830148982673415</v>
      </c>
      <c r="F7" s="84">
        <f t="shared" si="4"/>
        <v>3.158529970547122</v>
      </c>
      <c r="G7" s="84">
        <f t="shared" si="4"/>
        <v>6.302095820932436</v>
      </c>
      <c r="H7" s="84">
        <f t="shared" si="4"/>
        <v>12.574334296829354</v>
      </c>
      <c r="I7" s="85">
        <f t="shared" si="4"/>
        <v>25.08909535828432</v>
      </c>
      <c r="J7" s="89">
        <f t="shared" si="4"/>
        <v>50.05932648504536</v>
      </c>
      <c r="K7" s="86">
        <f t="shared" si="4"/>
        <v>158.30148982673424</v>
      </c>
      <c r="L7" s="86">
        <f t="shared" si="4"/>
        <v>500.5932648504539</v>
      </c>
      <c r="M7" s="105">
        <f aca="true" t="shared" si="5" ref="M7:R7">10^((M5+20*LOG(SQRT(0.001*50)*1000000))/20)/1000</f>
        <v>1.5830148982673427</v>
      </c>
      <c r="N7" s="105">
        <f t="shared" si="5"/>
        <v>5.00593264850454</v>
      </c>
      <c r="O7" s="105">
        <f t="shared" si="5"/>
        <v>15.830148982673418</v>
      </c>
      <c r="P7" s="105">
        <f t="shared" si="5"/>
        <v>50.05932648504537</v>
      </c>
      <c r="Q7" s="105">
        <f t="shared" si="5"/>
        <v>158.30148982673407</v>
      </c>
      <c r="R7" s="105">
        <f t="shared" si="5"/>
        <v>500.59326485045335</v>
      </c>
      <c r="S7" s="106">
        <f>10^((S5+20*LOG(SQRT(0.001*50)*1000000))/20)/1000000</f>
        <v>1.5830148982673424</v>
      </c>
      <c r="T7" s="106">
        <f>10^((T5+20*LOG(SQRT(0.001*50)*1000000))/20)/1000000</f>
        <v>5.0059326485045395</v>
      </c>
    </row>
    <row r="8" spans="1:20" ht="11.25">
      <c r="A8" s="66" t="s">
        <v>6</v>
      </c>
      <c r="B8" s="103">
        <f aca="true" t="shared" si="6" ref="B8:H8">((10^((B5+20*LOG(SQRT(0.001*50)*1000000))/20))/1000000)^2/50*1000000000000</f>
        <v>0.000794328234724281</v>
      </c>
      <c r="C8" s="103">
        <f t="shared" si="6"/>
        <v>0.003162277660168378</v>
      </c>
      <c r="D8" s="103">
        <f t="shared" si="6"/>
        <v>0.012589254117941671</v>
      </c>
      <c r="E8" s="102">
        <f t="shared" si="6"/>
        <v>0.050118723362727234</v>
      </c>
      <c r="F8" s="101">
        <f t="shared" si="6"/>
        <v>0.19952623149688806</v>
      </c>
      <c r="G8" s="101">
        <f t="shared" si="6"/>
        <v>0.7943282347242817</v>
      </c>
      <c r="H8" s="101">
        <f t="shared" si="6"/>
        <v>3.1622776601683795</v>
      </c>
      <c r="I8" s="107">
        <f>((10^((I5+20*LOG(SQRT(0.001*50)*1000000))/20))/1000000)^2/50*1000000000</f>
        <v>0.012589254117941678</v>
      </c>
      <c r="J8" s="100">
        <f>((10^((J5+20*LOG(SQRT(0.001*50)*1000000))/20))/1000000)^2/50*1000000000</f>
        <v>0.050118723362727276</v>
      </c>
      <c r="K8" s="100">
        <f>((10^((K5+20*LOG(SQRT(0.001*50)*1000000))/20))/1000000)^2/50*1000000000</f>
        <v>0.5011872336272729</v>
      </c>
      <c r="L8" s="100">
        <f>((10^((L5+20*LOG(SQRT(0.001*50)*1000000))/20))/1000000)^2/50*1000000000</f>
        <v>5.0118723362727335</v>
      </c>
      <c r="M8" s="99">
        <f>((10^((M5+20*LOG(SQRT(0.001*50)*1000000))/20))/1000000)^2/50*1000000</f>
        <v>0.050118723362727303</v>
      </c>
      <c r="N8" s="99">
        <f>((10^((N5+20*LOG(SQRT(0.001*50)*1000000))/20))/1000000)^2/50*1000000</f>
        <v>0.5011872336272736</v>
      </c>
      <c r="O8" s="99">
        <f>((10^((O5+20*LOG(SQRT(0.001*50)*1000000))/20))/1000000)^2/50*1000000</f>
        <v>5.011872336272724</v>
      </c>
      <c r="P8" s="99">
        <f>((10^((P5+20*LOG(SQRT(0.001*50)*1000000))/20))/1000000)^2/50*1000000</f>
        <v>50.11872336272731</v>
      </c>
      <c r="Q8" s="98">
        <f>((10^((Q5+20*LOG(SQRT(0.001*50)*1000000))/20))/1000000)^2/50*1000</f>
        <v>0.5011872336272718</v>
      </c>
      <c r="R8" s="98">
        <f>((10^((R5+20*LOG(SQRT(0.001*50)*1000000))/20))/1000000)^2/50*1000</f>
        <v>5.011872336272724</v>
      </c>
      <c r="S8" s="98">
        <f>((10^((S5+20*LOG(SQRT(0.001*50)*1000000))/20))/1000000)^2/50*1000</f>
        <v>50.11872336272729</v>
      </c>
      <c r="T8" s="97">
        <f>((10^((T5+20*LOG(SQRT(0.001*50)*1000000))/20))/1000000)^2/50</f>
        <v>0.5011872336272735</v>
      </c>
    </row>
    <row r="9" ht="11.25">
      <c r="K9" s="69"/>
    </row>
    <row r="10" ht="9" customHeight="1">
      <c r="K10" s="70"/>
    </row>
    <row r="11" spans="1:20" ht="12.75">
      <c r="A11" s="57" t="s">
        <v>22</v>
      </c>
      <c r="B11" s="71"/>
      <c r="J11" s="72" t="s">
        <v>15</v>
      </c>
      <c r="K11" s="138" t="s">
        <v>18</v>
      </c>
      <c r="L11" s="139"/>
      <c r="M11" s="139"/>
      <c r="N11" s="139"/>
      <c r="O11" s="139"/>
      <c r="P11" s="139"/>
      <c r="Q11" s="139"/>
      <c r="R11" s="139"/>
      <c r="S11" s="139"/>
      <c r="T11" s="140"/>
    </row>
    <row r="12" spans="1:20" ht="12.75">
      <c r="A12" s="61" t="s">
        <v>16</v>
      </c>
      <c r="B12" s="61">
        <v>1</v>
      </c>
      <c r="C12" s="61">
        <v>2</v>
      </c>
      <c r="D12" s="61">
        <v>3</v>
      </c>
      <c r="E12" s="61">
        <v>4</v>
      </c>
      <c r="F12" s="61">
        <v>5</v>
      </c>
      <c r="G12" s="61">
        <v>6</v>
      </c>
      <c r="H12" s="61">
        <v>7</v>
      </c>
      <c r="I12" s="62">
        <v>8</v>
      </c>
      <c r="J12" s="63">
        <v>9</v>
      </c>
      <c r="K12" s="64">
        <v>10</v>
      </c>
      <c r="L12" s="65">
        <v>20</v>
      </c>
      <c r="M12" s="65">
        <v>30</v>
      </c>
      <c r="N12" s="65">
        <v>40</v>
      </c>
      <c r="O12" s="65">
        <v>50</v>
      </c>
      <c r="P12" s="65">
        <v>60</v>
      </c>
      <c r="Q12" s="65">
        <v>70</v>
      </c>
      <c r="R12" s="65">
        <v>80</v>
      </c>
      <c r="S12" s="65">
        <v>90</v>
      </c>
      <c r="T12" s="65">
        <v>100</v>
      </c>
    </row>
    <row r="13" spans="1:20" ht="12.75">
      <c r="A13" s="66" t="s">
        <v>1</v>
      </c>
      <c r="B13" s="91">
        <f aca="true" t="shared" si="7" ref="B13:H13">C13-6</f>
        <v>-141</v>
      </c>
      <c r="C13" s="91">
        <f t="shared" si="7"/>
        <v>-135</v>
      </c>
      <c r="D13" s="91">
        <f t="shared" si="7"/>
        <v>-129</v>
      </c>
      <c r="E13" s="91">
        <f t="shared" si="7"/>
        <v>-123</v>
      </c>
      <c r="F13" s="91">
        <f t="shared" si="7"/>
        <v>-117</v>
      </c>
      <c r="G13" s="91">
        <f t="shared" si="7"/>
        <v>-111</v>
      </c>
      <c r="H13" s="91">
        <f t="shared" si="7"/>
        <v>-105</v>
      </c>
      <c r="I13" s="91">
        <f>J13-6</f>
        <v>-99</v>
      </c>
      <c r="J13" s="88">
        <v>-93</v>
      </c>
      <c r="K13" s="91">
        <f>J13+10</f>
        <v>-83</v>
      </c>
      <c r="L13" s="91">
        <f aca="true" t="shared" si="8" ref="L13:T13">K13+10</f>
        <v>-73</v>
      </c>
      <c r="M13" s="91">
        <f t="shared" si="8"/>
        <v>-63</v>
      </c>
      <c r="N13" s="91">
        <f t="shared" si="8"/>
        <v>-53</v>
      </c>
      <c r="O13" s="91">
        <f t="shared" si="8"/>
        <v>-43</v>
      </c>
      <c r="P13" s="91">
        <f t="shared" si="8"/>
        <v>-33</v>
      </c>
      <c r="Q13" s="91">
        <f t="shared" si="8"/>
        <v>-23</v>
      </c>
      <c r="R13" s="91">
        <f t="shared" si="8"/>
        <v>-13</v>
      </c>
      <c r="S13" s="91">
        <f t="shared" si="8"/>
        <v>-3</v>
      </c>
      <c r="T13" s="91">
        <f t="shared" si="8"/>
        <v>7</v>
      </c>
    </row>
    <row r="14" spans="1:20" ht="11.25">
      <c r="A14" s="66" t="s">
        <v>10</v>
      </c>
      <c r="B14" s="67">
        <f aca="true" t="shared" si="9" ref="B14:T14">B13+20*LOG(SQRT(0.001*50)*1000000)</f>
        <v>-34.01029995663981</v>
      </c>
      <c r="C14" s="67">
        <f t="shared" si="9"/>
        <v>-28.010299956639813</v>
      </c>
      <c r="D14" s="67">
        <f t="shared" si="9"/>
        <v>-22.010299956639813</v>
      </c>
      <c r="E14" s="67">
        <f t="shared" si="9"/>
        <v>-16.010299956639813</v>
      </c>
      <c r="F14" s="67">
        <f t="shared" si="9"/>
        <v>-10.010299956639813</v>
      </c>
      <c r="G14" s="67">
        <f t="shared" si="9"/>
        <v>-4.0102999566398125</v>
      </c>
      <c r="H14" s="67">
        <f t="shared" si="9"/>
        <v>1.9897000433601875</v>
      </c>
      <c r="I14" s="67">
        <f t="shared" si="9"/>
        <v>7.9897000433601875</v>
      </c>
      <c r="J14" s="67">
        <f t="shared" si="9"/>
        <v>13.989700043360187</v>
      </c>
      <c r="K14" s="67">
        <f t="shared" si="9"/>
        <v>23.989700043360187</v>
      </c>
      <c r="L14" s="67">
        <f t="shared" si="9"/>
        <v>33.98970004336019</v>
      </c>
      <c r="M14" s="67">
        <f t="shared" si="9"/>
        <v>43.98970004336019</v>
      </c>
      <c r="N14" s="67">
        <f t="shared" si="9"/>
        <v>53.98970004336019</v>
      </c>
      <c r="O14" s="67">
        <f t="shared" si="9"/>
        <v>63.98970004336019</v>
      </c>
      <c r="P14" s="67">
        <f t="shared" si="9"/>
        <v>73.98970004336019</v>
      </c>
      <c r="Q14" s="67">
        <f t="shared" si="9"/>
        <v>83.98970004336019</v>
      </c>
      <c r="R14" s="67">
        <f t="shared" si="9"/>
        <v>93.98970004336019</v>
      </c>
      <c r="S14" s="67">
        <f t="shared" si="9"/>
        <v>103.98970004336019</v>
      </c>
      <c r="T14" s="67">
        <f t="shared" si="9"/>
        <v>113.98970004336019</v>
      </c>
    </row>
    <row r="15" spans="1:20" ht="12.75">
      <c r="A15" s="66" t="s">
        <v>24</v>
      </c>
      <c r="B15" s="84">
        <f aca="true" t="shared" si="10" ref="B15:N15">10^((B13+20*LOG(SQRT(0.001*50)*1000000))/20)</f>
        <v>0.01992897682677514</v>
      </c>
      <c r="C15" s="84">
        <f t="shared" si="10"/>
        <v>0.03976353643835251</v>
      </c>
      <c r="D15" s="84">
        <f t="shared" si="10"/>
        <v>0.07933868576533665</v>
      </c>
      <c r="E15" s="84">
        <f t="shared" si="10"/>
        <v>0.15830148982673412</v>
      </c>
      <c r="F15" s="84">
        <f t="shared" si="10"/>
        <v>0.3158529970547121</v>
      </c>
      <c r="G15" s="84">
        <f t="shared" si="10"/>
        <v>0.6302095820932435</v>
      </c>
      <c r="H15" s="84">
        <f t="shared" si="10"/>
        <v>1.2574334296829353</v>
      </c>
      <c r="I15" s="85">
        <f t="shared" si="10"/>
        <v>2.5089095358284315</v>
      </c>
      <c r="J15" s="89">
        <f t="shared" si="10"/>
        <v>5.005932648504534</v>
      </c>
      <c r="K15" s="86">
        <f t="shared" si="10"/>
        <v>15.830148982673421</v>
      </c>
      <c r="L15" s="84">
        <f t="shared" si="10"/>
        <v>50.05932648504536</v>
      </c>
      <c r="M15" s="84">
        <f t="shared" si="10"/>
        <v>158.30148982673424</v>
      </c>
      <c r="N15" s="87">
        <f t="shared" si="10"/>
        <v>500.5932648504539</v>
      </c>
      <c r="O15" s="105">
        <f aca="true" t="shared" si="11" ref="O15:T15">10^((O13+20*LOG(SQRT(0.001*50)*1000000))/20)/1000</f>
        <v>1.5830148982673427</v>
      </c>
      <c r="P15" s="105">
        <f t="shared" si="11"/>
        <v>5.00593264850454</v>
      </c>
      <c r="Q15" s="105">
        <f t="shared" si="11"/>
        <v>15.830148982673418</v>
      </c>
      <c r="R15" s="105">
        <f t="shared" si="11"/>
        <v>50.05932648504537</v>
      </c>
      <c r="S15" s="105">
        <f t="shared" si="11"/>
        <v>158.30148982673407</v>
      </c>
      <c r="T15" s="105">
        <f t="shared" si="11"/>
        <v>500.59326485045335</v>
      </c>
    </row>
    <row r="16" spans="1:20" ht="11.25">
      <c r="A16" s="66" t="s">
        <v>6</v>
      </c>
      <c r="B16" s="104">
        <f aca="true" t="shared" si="12" ref="B16:K16">((10^((B13+20*LOG(SQRT(0.001*50)*1000000))/20))/1000000)^2/50*1000000000000</f>
        <v>7.943282347242812E-06</v>
      </c>
      <c r="C16" s="104">
        <f t="shared" si="12"/>
        <v>3.1622776601683755E-05</v>
      </c>
      <c r="D16" s="104">
        <f t="shared" si="12"/>
        <v>0.00012589254117941664</v>
      </c>
      <c r="E16" s="103">
        <f t="shared" si="12"/>
        <v>0.0005011872336272721</v>
      </c>
      <c r="F16" s="103">
        <f t="shared" si="12"/>
        <v>0.0019952623149688794</v>
      </c>
      <c r="G16" s="103">
        <f t="shared" si="12"/>
        <v>0.007943282347242814</v>
      </c>
      <c r="H16" s="101">
        <f t="shared" si="12"/>
        <v>0.031622776601683784</v>
      </c>
      <c r="I16" s="101">
        <f t="shared" si="12"/>
        <v>0.1258925411794167</v>
      </c>
      <c r="J16" s="101">
        <f t="shared" si="12"/>
        <v>0.5011872336272724</v>
      </c>
      <c r="K16" s="101">
        <f t="shared" si="12"/>
        <v>5.011872336272727</v>
      </c>
      <c r="L16" s="100">
        <f>((10^((L13+20*LOG(SQRT(0.001*50)*1000000))/20))/1000000)^2/50*1000000000</f>
        <v>0.050118723362727276</v>
      </c>
      <c r="M16" s="100">
        <f>((10^((M13+20*LOG(SQRT(0.001*50)*1000000))/20))/1000000)^2/50*1000000000</f>
        <v>0.5011872336272729</v>
      </c>
      <c r="N16" s="100">
        <f>((10^((N13+20*LOG(SQRT(0.001*50)*1000000))/20))/1000000)^2/50*1000000000</f>
        <v>5.0118723362727335</v>
      </c>
      <c r="O16" s="99">
        <f>((10^((O13+20*LOG(SQRT(0.001*50)*1000000))/20))/1000000)^2/50*1000000</f>
        <v>0.050118723362727303</v>
      </c>
      <c r="P16" s="99">
        <f>((10^((P13+20*LOG(SQRT(0.001*50)*1000000))/20))/1000000)^2/50*1000000</f>
        <v>0.5011872336272736</v>
      </c>
      <c r="Q16" s="99">
        <f>((10^((Q13+20*LOG(SQRT(0.001*50)*1000000))/20))/1000000)^2/50*1000000</f>
        <v>5.011872336272724</v>
      </c>
      <c r="R16" s="99">
        <f>((10^((R13+20*LOG(SQRT(0.001*50)*1000000))/20))/1000000)^2/50*1000000</f>
        <v>50.11872336272731</v>
      </c>
      <c r="S16" s="98">
        <f>((10^((S13+20*LOG(SQRT(0.001*50)*1000000))/20))/1000000)^2/50*1000</f>
        <v>0.5011872336272718</v>
      </c>
      <c r="T16" s="98">
        <f>((10^((T13+20*LOG(SQRT(0.001*50)*1000000))/20))/1000000)^2/50*1000</f>
        <v>5.011872336272724</v>
      </c>
    </row>
    <row r="17" ht="11.25">
      <c r="K17" s="69"/>
    </row>
    <row r="18" ht="9" customHeight="1">
      <c r="K18" s="70"/>
    </row>
    <row r="19" spans="1:20" ht="12.75">
      <c r="A19" s="74" t="s">
        <v>19</v>
      </c>
      <c r="J19" s="72" t="s">
        <v>15</v>
      </c>
      <c r="K19" s="138" t="s">
        <v>18</v>
      </c>
      <c r="L19" s="139"/>
      <c r="M19" s="139"/>
      <c r="N19" s="139"/>
      <c r="O19" s="139"/>
      <c r="P19" s="139"/>
      <c r="Q19" s="139"/>
      <c r="R19" s="139"/>
      <c r="S19" s="139"/>
      <c r="T19" s="140"/>
    </row>
    <row r="20" spans="1:20" ht="12.75">
      <c r="A20" s="61" t="s">
        <v>16</v>
      </c>
      <c r="B20" s="61">
        <v>1</v>
      </c>
      <c r="C20" s="61">
        <v>2</v>
      </c>
      <c r="D20" s="61">
        <v>3</v>
      </c>
      <c r="E20" s="61">
        <v>4</v>
      </c>
      <c r="F20" s="61">
        <v>5</v>
      </c>
      <c r="G20" s="61">
        <v>6</v>
      </c>
      <c r="H20" s="61">
        <v>7</v>
      </c>
      <c r="I20" s="62">
        <v>8</v>
      </c>
      <c r="J20" s="63">
        <v>9</v>
      </c>
      <c r="K20" s="64">
        <v>10</v>
      </c>
      <c r="L20" s="65">
        <v>20</v>
      </c>
      <c r="M20" s="65">
        <v>30</v>
      </c>
      <c r="N20" s="65">
        <v>40</v>
      </c>
      <c r="O20" s="65">
        <v>50</v>
      </c>
      <c r="P20" s="65">
        <v>60</v>
      </c>
      <c r="Q20" s="65">
        <v>70</v>
      </c>
      <c r="R20" s="65">
        <v>80</v>
      </c>
      <c r="S20" s="65">
        <v>90</v>
      </c>
      <c r="T20" s="65">
        <v>100</v>
      </c>
    </row>
    <row r="21" spans="1:20" ht="12.75">
      <c r="A21" s="66" t="s">
        <v>1</v>
      </c>
      <c r="B21" s="91">
        <f aca="true" t="shared" si="13" ref="B21:H21">C21-6</f>
        <v>-115</v>
      </c>
      <c r="C21" s="91">
        <f t="shared" si="13"/>
        <v>-109</v>
      </c>
      <c r="D21" s="91">
        <f t="shared" si="13"/>
        <v>-103</v>
      </c>
      <c r="E21" s="91">
        <f t="shared" si="13"/>
        <v>-97</v>
      </c>
      <c r="F21" s="91">
        <f t="shared" si="13"/>
        <v>-91</v>
      </c>
      <c r="G21" s="91">
        <f t="shared" si="13"/>
        <v>-85</v>
      </c>
      <c r="H21" s="91">
        <f t="shared" si="13"/>
        <v>-79</v>
      </c>
      <c r="I21" s="91">
        <f>J21-6</f>
        <v>-73</v>
      </c>
      <c r="J21" s="88">
        <v>-67</v>
      </c>
      <c r="K21" s="91">
        <f>J21+10</f>
        <v>-57</v>
      </c>
      <c r="L21" s="91">
        <f aca="true" t="shared" si="14" ref="L21:T21">K21+10</f>
        <v>-47</v>
      </c>
      <c r="M21" s="91">
        <f t="shared" si="14"/>
        <v>-37</v>
      </c>
      <c r="N21" s="91">
        <f t="shared" si="14"/>
        <v>-27</v>
      </c>
      <c r="O21" s="91">
        <f t="shared" si="14"/>
        <v>-17</v>
      </c>
      <c r="P21" s="91">
        <f t="shared" si="14"/>
        <v>-7</v>
      </c>
      <c r="Q21" s="91">
        <f t="shared" si="14"/>
        <v>3</v>
      </c>
      <c r="R21" s="91">
        <f t="shared" si="14"/>
        <v>13</v>
      </c>
      <c r="S21" s="91">
        <f t="shared" si="14"/>
        <v>23</v>
      </c>
      <c r="T21" s="91">
        <f t="shared" si="14"/>
        <v>33</v>
      </c>
    </row>
    <row r="22" spans="1:20" ht="11.25">
      <c r="A22" s="66" t="s">
        <v>10</v>
      </c>
      <c r="B22" s="67">
        <f aca="true" t="shared" si="15" ref="B22:T22">B21+20*LOG(SQRT(0.001*50)*1000000)</f>
        <v>-8.010299956639813</v>
      </c>
      <c r="C22" s="67">
        <f t="shared" si="15"/>
        <v>-2.0102999566398125</v>
      </c>
      <c r="D22" s="67">
        <f t="shared" si="15"/>
        <v>3.9897000433601875</v>
      </c>
      <c r="E22" s="67">
        <f t="shared" si="15"/>
        <v>9.989700043360187</v>
      </c>
      <c r="F22" s="67">
        <f t="shared" si="15"/>
        <v>15.989700043360187</v>
      </c>
      <c r="G22" s="67">
        <f t="shared" si="15"/>
        <v>21.989700043360187</v>
      </c>
      <c r="H22" s="67">
        <f t="shared" si="15"/>
        <v>27.989700043360187</v>
      </c>
      <c r="I22" s="67">
        <f t="shared" si="15"/>
        <v>33.98970004336019</v>
      </c>
      <c r="J22" s="67">
        <f t="shared" si="15"/>
        <v>39.98970004336019</v>
      </c>
      <c r="K22" s="67">
        <f t="shared" si="15"/>
        <v>49.98970004336019</v>
      </c>
      <c r="L22" s="67">
        <f t="shared" si="15"/>
        <v>59.98970004336019</v>
      </c>
      <c r="M22" s="67">
        <f t="shared" si="15"/>
        <v>69.98970004336019</v>
      </c>
      <c r="N22" s="67">
        <f t="shared" si="15"/>
        <v>79.98970004336019</v>
      </c>
      <c r="O22" s="67">
        <f t="shared" si="15"/>
        <v>89.98970004336019</v>
      </c>
      <c r="P22" s="67">
        <f t="shared" si="15"/>
        <v>99.98970004336019</v>
      </c>
      <c r="Q22" s="67">
        <f t="shared" si="15"/>
        <v>109.98970004336019</v>
      </c>
      <c r="R22" s="67">
        <f t="shared" si="15"/>
        <v>119.98970004336019</v>
      </c>
      <c r="S22" s="67">
        <f t="shared" si="15"/>
        <v>129.9897000433602</v>
      </c>
      <c r="T22" s="67">
        <f t="shared" si="15"/>
        <v>139.9897000433602</v>
      </c>
    </row>
    <row r="23" spans="1:20" ht="12.75">
      <c r="A23" s="66" t="s">
        <v>24</v>
      </c>
      <c r="B23" s="84">
        <f aca="true" t="shared" si="16" ref="B23:K23">10^((B21+20*LOG(SQRT(0.001*50)*1000000))/20)</f>
        <v>0.39763536438352526</v>
      </c>
      <c r="C23" s="84">
        <f t="shared" si="16"/>
        <v>0.7933868576533667</v>
      </c>
      <c r="D23" s="84">
        <f t="shared" si="16"/>
        <v>1.5830148982673415</v>
      </c>
      <c r="E23" s="84">
        <f t="shared" si="16"/>
        <v>3.158529970547122</v>
      </c>
      <c r="F23" s="84">
        <f t="shared" si="16"/>
        <v>6.302095820932436</v>
      </c>
      <c r="G23" s="84">
        <f t="shared" si="16"/>
        <v>12.574334296829354</v>
      </c>
      <c r="H23" s="84">
        <f t="shared" si="16"/>
        <v>25.08909535828432</v>
      </c>
      <c r="I23" s="85">
        <f t="shared" si="16"/>
        <v>50.05932648504536</v>
      </c>
      <c r="J23" s="89">
        <f t="shared" si="16"/>
        <v>99.88148764833448</v>
      </c>
      <c r="K23" s="86">
        <f t="shared" si="16"/>
        <v>315.85299705471226</v>
      </c>
      <c r="L23" s="105">
        <f aca="true" t="shared" si="17" ref="L23:Q23">10^((L21+20*LOG(SQRT(0.001*50)*1000000))/20)/1000</f>
        <v>0.9988148764833451</v>
      </c>
      <c r="M23" s="105">
        <f t="shared" si="17"/>
        <v>3.15852997054712</v>
      </c>
      <c r="N23" s="105">
        <f t="shared" si="17"/>
        <v>9.988148764833452</v>
      </c>
      <c r="O23" s="105">
        <f t="shared" si="17"/>
        <v>31.585299705471293</v>
      </c>
      <c r="P23" s="105">
        <f t="shared" si="17"/>
        <v>99.88148764833464</v>
      </c>
      <c r="Q23" s="105">
        <f t="shared" si="17"/>
        <v>315.8529970547127</v>
      </c>
      <c r="R23" s="106">
        <f>10^((R21+20*LOG(SQRT(0.001*50)*1000000))/20)/1000000</f>
        <v>0.9988148764833475</v>
      </c>
      <c r="S23" s="106">
        <f>10^((S21+20*LOG(SQRT(0.001*50)*1000000))/20)/1000000</f>
        <v>3.158529970547131</v>
      </c>
      <c r="T23" s="106">
        <f>10^((T21+20*LOG(SQRT(0.001*50)*1000000))/20)/1000000</f>
        <v>9.988148764833468</v>
      </c>
    </row>
    <row r="24" spans="1:20" ht="11.25">
      <c r="A24" s="66" t="s">
        <v>6</v>
      </c>
      <c r="B24" s="102">
        <f aca="true" t="shared" si="18" ref="B24:H24">((10^((B21+20*LOG(SQRT(0.001*50)*1000000))/20))/1000000)^2/50*1000000000000</f>
        <v>0.003162277660168378</v>
      </c>
      <c r="C24" s="102">
        <f t="shared" si="18"/>
        <v>0.012589254117941671</v>
      </c>
      <c r="D24" s="102">
        <f t="shared" si="18"/>
        <v>0.050118723362727234</v>
      </c>
      <c r="E24" s="101">
        <f t="shared" si="18"/>
        <v>0.19952623149688806</v>
      </c>
      <c r="F24" s="101">
        <f t="shared" si="18"/>
        <v>0.7943282347242817</v>
      </c>
      <c r="G24" s="101">
        <f t="shared" si="18"/>
        <v>3.1622776601683795</v>
      </c>
      <c r="H24" s="101">
        <f t="shared" si="18"/>
        <v>12.589254117941678</v>
      </c>
      <c r="I24" s="100">
        <f>((10^((I21+20*LOG(SQRT(0.001*50)*1000000))/20))/1000000)^2/50*1000000000</f>
        <v>0.050118723362727276</v>
      </c>
      <c r="J24" s="100">
        <f>((10^((J21+20*LOG(SQRT(0.001*50)*1000000))/20))/1000000)^2/50*1000000000</f>
        <v>0.1995262314968879</v>
      </c>
      <c r="K24" s="100">
        <f>((10^((K21+20*LOG(SQRT(0.001*50)*1000000))/20))/1000000)^2/50*1000000000</f>
        <v>1.9952623149688815</v>
      </c>
      <c r="L24" s="99">
        <f>((10^((L21+20*LOG(SQRT(0.001*50)*1000000))/20))/1000000)^2/50*1000000</f>
        <v>0.0199526231496888</v>
      </c>
      <c r="M24" s="99">
        <f>((10^((M21+20*LOG(SQRT(0.001*50)*1000000))/20))/1000000)^2/50*1000000</f>
        <v>0.19952623149688786</v>
      </c>
      <c r="N24" s="99">
        <f>((10^((N21+20*LOG(SQRT(0.001*50)*1000000))/20))/1000000)^2/50*1000000</f>
        <v>1.9952623149688813</v>
      </c>
      <c r="O24" s="99">
        <f>((10^((O21+20*LOG(SQRT(0.001*50)*1000000))/20))/1000000)^2/50*1000000</f>
        <v>19.9526231496889</v>
      </c>
      <c r="P24" s="98">
        <f>((10^((P21+20*LOG(SQRT(0.001*50)*1000000))/20))/1000000)^2/50*1000</f>
        <v>0.1995262314968885</v>
      </c>
      <c r="Q24" s="98">
        <f>((10^((Q21+20*LOG(SQRT(0.001*50)*1000000))/20))/1000000)^2/50*1000</f>
        <v>1.995262314968887</v>
      </c>
      <c r="R24" s="98">
        <f>((10^((R21+20*LOG(SQRT(0.001*50)*1000000))/20))/1000000)^2/50*1000</f>
        <v>19.952623149688897</v>
      </c>
      <c r="S24" s="97">
        <f>((10^((S21+20*LOG(SQRT(0.001*50)*1000000))/20))/1000000)^2/50</f>
        <v>0.1995262314968892</v>
      </c>
      <c r="T24" s="97">
        <f>((10^((T21+20*LOG(SQRT(0.001*50)*1000000))/20))/1000000)^2/50</f>
        <v>1.9952623149688866</v>
      </c>
    </row>
    <row r="26" ht="11.25">
      <c r="B26" s="90" t="s">
        <v>20</v>
      </c>
    </row>
    <row r="27" spans="7:15" ht="11.25">
      <c r="G27" s="75"/>
      <c r="H27" s="75"/>
      <c r="I27" s="75"/>
      <c r="J27" s="75"/>
      <c r="K27" s="75"/>
      <c r="L27" s="75"/>
      <c r="M27" s="75"/>
      <c r="N27" s="75"/>
      <c r="O27" s="75"/>
    </row>
    <row r="28" spans="6:15" ht="6.75" customHeight="1">
      <c r="F28" s="69"/>
      <c r="G28" s="22"/>
      <c r="H28" s="22"/>
      <c r="I28" s="22"/>
      <c r="J28" s="22"/>
      <c r="K28" s="23"/>
      <c r="L28" s="25"/>
      <c r="M28" s="25"/>
      <c r="N28" s="25"/>
      <c r="O28" s="75"/>
    </row>
    <row r="29" spans="6:15" ht="12.75">
      <c r="F29" s="70"/>
      <c r="G29" s="131" t="s">
        <v>25</v>
      </c>
      <c r="H29" s="131"/>
      <c r="I29" s="131"/>
      <c r="J29" s="131"/>
      <c r="K29" s="132"/>
      <c r="L29" s="45"/>
      <c r="M29" s="45"/>
      <c r="N29" s="45"/>
      <c r="O29" s="75"/>
    </row>
    <row r="30" spans="6:15" ht="15.75">
      <c r="F30" s="70"/>
      <c r="G30" s="131" t="s">
        <v>2</v>
      </c>
      <c r="H30" s="131"/>
      <c r="I30" s="45"/>
      <c r="J30" s="45"/>
      <c r="K30" s="26"/>
      <c r="L30" s="29"/>
      <c r="M30" s="28"/>
      <c r="N30" s="25"/>
      <c r="O30" s="75"/>
    </row>
    <row r="31" spans="6:15" ht="15.75">
      <c r="F31" s="70"/>
      <c r="G31" s="134" t="s">
        <v>9</v>
      </c>
      <c r="H31" s="134"/>
      <c r="I31" s="134"/>
      <c r="J31" s="29"/>
      <c r="K31" s="53"/>
      <c r="L31" s="25"/>
      <c r="M31" s="25"/>
      <c r="N31" s="25"/>
      <c r="O31" s="75"/>
    </row>
    <row r="32" spans="6:15" ht="11.25">
      <c r="F32" s="70"/>
      <c r="G32" s="137" t="s">
        <v>26</v>
      </c>
      <c r="H32" s="137"/>
      <c r="I32" s="46"/>
      <c r="J32" s="46"/>
      <c r="K32" s="26"/>
      <c r="L32" s="25"/>
      <c r="M32" s="25"/>
      <c r="N32" s="25"/>
      <c r="O32" s="75"/>
    </row>
    <row r="33" spans="6:15" ht="6.75" customHeight="1">
      <c r="F33" s="73"/>
      <c r="G33" s="76"/>
      <c r="H33" s="76"/>
      <c r="I33" s="76"/>
      <c r="J33" s="76"/>
      <c r="K33" s="77"/>
      <c r="L33" s="75"/>
      <c r="M33" s="75"/>
      <c r="N33" s="75"/>
      <c r="O33" s="75"/>
    </row>
    <row r="34" spans="7:15" ht="11.25">
      <c r="G34" s="75"/>
      <c r="H34" s="75"/>
      <c r="I34" s="75"/>
      <c r="J34" s="75"/>
      <c r="K34" s="75"/>
      <c r="L34" s="75"/>
      <c r="M34" s="75"/>
      <c r="N34" s="75"/>
      <c r="O34" s="75"/>
    </row>
  </sheetData>
  <sheetProtection/>
  <mergeCells count="7">
    <mergeCell ref="G32:H32"/>
    <mergeCell ref="K3:T3"/>
    <mergeCell ref="G29:K29"/>
    <mergeCell ref="G30:H30"/>
    <mergeCell ref="G31:I31"/>
    <mergeCell ref="K11:T11"/>
    <mergeCell ref="K19:T19"/>
  </mergeCells>
  <hyperlinks>
    <hyperlink ref="G30" r:id="rId1" display="QRV@wanadoo.fr"/>
    <hyperlink ref="G29" r:id="rId2" display="https://qrvradio.fr/Radio.htm"/>
  </hyperlinks>
  <printOptions/>
  <pageMargins left="0.787401575" right="0.787401575" top="0.984251969" bottom="0.984251969" header="0.4921259845" footer="0.4921259845"/>
  <pageSetup horizontalDpi="1200" verticalDpi="12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Calculs µV, dBµV, dBm, dBW, W, mW</dc:title>
  <dc:subject/>
  <dc:creator>F4EZC</dc:creator>
  <cp:keywords/>
  <dc:description/>
  <cp:lastModifiedBy>i81242</cp:lastModifiedBy>
  <dcterms:created xsi:type="dcterms:W3CDTF">1996-10-21T11:03:58Z</dcterms:created>
  <dcterms:modified xsi:type="dcterms:W3CDTF">2024-03-17T13:00:35Z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